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Ch5 - Marg Dist Costs\Workpapers\"/>
    </mc:Choice>
  </mc:AlternateContent>
  <xr:revisionPtr revIDLastSave="0" documentId="13_ncr:1_{B3692C4D-3978-482C-959C-1ECB9AE44B53}" xr6:coauthVersionLast="36" xr6:coauthVersionMax="36" xr10:uidLastSave="{00000000-0000-0000-0000-000000000000}"/>
  <bookViews>
    <workbookView xWindow="240" yWindow="165" windowWidth="20730" windowHeight="9540" xr2:uid="{00000000-000D-0000-FFFF-FFFF00000000}"/>
  </bookViews>
  <sheets>
    <sheet name="NCO - School (Non-Lighting)" sheetId="14" r:id="rId1"/>
    <sheet name="NCO - Res" sheetId="2" r:id="rId2"/>
    <sheet name="NCO - Small Commercial" sheetId="6" r:id="rId3"/>
    <sheet name="NCO - Medium-Large C&amp;I " sheetId="7" r:id="rId4"/>
    <sheet name="NCO - Agricultural Class" sheetId="8" r:id="rId5"/>
    <sheet name="NCO - Lighting" sheetId="9" r:id="rId6"/>
    <sheet name="NCO Res Cust Fcst" sheetId="1" r:id="rId7"/>
    <sheet name="NCO Sml Comm Cust Fcst" sheetId="5" r:id="rId8"/>
    <sheet name="NCO Medium-Large C&amp;I Cust Fcst" sheetId="11" r:id="rId9"/>
    <sheet name="NCO Agricultural" sheetId="13" r:id="rId10"/>
    <sheet name="NCO Lighting Cust Fcst" sheetId="10" r:id="rId11"/>
    <sheet name="Input" sheetId="4" r:id="rId12"/>
  </sheets>
  <definedNames>
    <definedName name="_xlnm.Print_Area" localSheetId="4">'NCO - Agricultural Class'!$A$1:$J$51</definedName>
    <definedName name="_xlnm.Print_Area" localSheetId="5">'NCO - Lighting'!$A$1:$B$51</definedName>
    <definedName name="_xlnm.Print_Area" localSheetId="3">'NCO - Medium-Large C&amp;I '!$A$1:$Q$51</definedName>
    <definedName name="_xlnm.Print_Area" localSheetId="1">'NCO - Res'!$A$1:$L$51</definedName>
    <definedName name="_xlnm.Print_Area" localSheetId="0">'NCO - School (Non-Lighting)'!$A$1:$J$51</definedName>
    <definedName name="_xlnm.Print_Area" localSheetId="2">'NCO - Small Commercial'!$A$1:$P$50</definedName>
    <definedName name="_xlnm.Print_Area" localSheetId="9">'NCO Agricultural'!$A$1:$J$30</definedName>
    <definedName name="_xlnm.Print_Area" localSheetId="10">'NCO Lighting Cust Fcst'!$A$1:$B$20</definedName>
    <definedName name="_xlnm.Print_Area" localSheetId="8">'NCO Medium-Large C&amp;I Cust Fcst'!$A$1:$P$35</definedName>
    <definedName name="_xlnm.Print_Area" localSheetId="6">'NCO Res Cust Fcst'!$A$1:$K$19</definedName>
    <definedName name="_xlnm.Print_Area" localSheetId="7">'NCO Sml Comm Cust Fcst'!$A$1:$J$40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3" i="10" l="1"/>
  <c r="B21" i="13"/>
  <c r="B20" i="13"/>
  <c r="J24" i="11"/>
  <c r="H24" i="11"/>
  <c r="G24" i="11"/>
  <c r="D24" i="11"/>
  <c r="C24" i="11"/>
  <c r="H23" i="11"/>
  <c r="G23" i="11"/>
  <c r="D23" i="11"/>
  <c r="C23" i="11"/>
  <c r="B23" i="11"/>
  <c r="F28" i="5"/>
  <c r="C28" i="5"/>
  <c r="B28" i="5"/>
  <c r="F27" i="5"/>
  <c r="C27" i="5"/>
  <c r="B27" i="5"/>
  <c r="F26" i="5"/>
  <c r="C26" i="5"/>
  <c r="B26" i="5"/>
  <c r="F25" i="5"/>
  <c r="C25" i="5"/>
  <c r="B25" i="5"/>
  <c r="B13" i="1"/>
  <c r="I28" i="5" l="1"/>
  <c r="I15" i="5"/>
  <c r="I27" i="5"/>
  <c r="I12" i="5"/>
  <c r="I9" i="5"/>
  <c r="I8" i="5"/>
  <c r="I7" i="5"/>
  <c r="I6" i="5"/>
  <c r="I14" i="5" l="1"/>
  <c r="I26" i="5"/>
  <c r="I13" i="5"/>
  <c r="C5" i="5"/>
  <c r="C11" i="5"/>
  <c r="I11" i="5" s="1"/>
  <c r="I25" i="5"/>
  <c r="I5" i="5" l="1"/>
  <c r="C24" i="5"/>
  <c r="I24" i="5" s="1"/>
  <c r="B37" i="2" l="1"/>
  <c r="M7" i="11" l="1"/>
  <c r="M13" i="11" l="1"/>
  <c r="N12" i="11"/>
  <c r="N7" i="11"/>
  <c r="M12" i="11"/>
  <c r="N6" i="11" l="1"/>
  <c r="N13" i="11"/>
  <c r="M6" i="11" l="1"/>
  <c r="B36" i="9" l="1"/>
  <c r="B12" i="9" l="1"/>
  <c r="B39" i="2" l="1"/>
  <c r="B22" i="11"/>
  <c r="B11" i="11"/>
  <c r="B5" i="11"/>
  <c r="K8" i="1"/>
  <c r="L37" i="2" s="1"/>
  <c r="M24" i="11" l="1"/>
  <c r="N24" i="11"/>
  <c r="G39" i="7" s="1"/>
  <c r="F39" i="14" s="1"/>
  <c r="D20" i="13"/>
  <c r="D21" i="13"/>
  <c r="N23" i="11"/>
  <c r="F24" i="5"/>
  <c r="D11" i="13"/>
  <c r="B10" i="13"/>
  <c r="D12" i="13"/>
  <c r="L7" i="11"/>
  <c r="L13" i="11"/>
  <c r="J22" i="11"/>
  <c r="J11" i="11"/>
  <c r="H11" i="11"/>
  <c r="H22" i="11"/>
  <c r="G37" i="7"/>
  <c r="F37" i="14" s="1"/>
  <c r="F13" i="11"/>
  <c r="I12" i="11"/>
  <c r="G11" i="11"/>
  <c r="G22" i="11"/>
  <c r="F14" i="11"/>
  <c r="D11" i="11"/>
  <c r="I13" i="11"/>
  <c r="I24" i="11"/>
  <c r="F12" i="11"/>
  <c r="C11" i="11"/>
  <c r="F11" i="5"/>
  <c r="H13" i="5"/>
  <c r="D13" i="5"/>
  <c r="H15" i="5"/>
  <c r="D15" i="5"/>
  <c r="D12" i="5"/>
  <c r="B11" i="5"/>
  <c r="H12" i="5"/>
  <c r="D14" i="5"/>
  <c r="H14" i="5"/>
  <c r="K13" i="1"/>
  <c r="L39" i="2" s="1"/>
  <c r="K6" i="1"/>
  <c r="G39" i="14" l="1"/>
  <c r="G37" i="14"/>
  <c r="H28" i="5"/>
  <c r="E38" i="6" s="1"/>
  <c r="C22" i="11"/>
  <c r="M23" i="11"/>
  <c r="B39" i="7" s="1"/>
  <c r="D28" i="5"/>
  <c r="D27" i="5"/>
  <c r="H27" i="5"/>
  <c r="D26" i="5"/>
  <c r="H26" i="5"/>
  <c r="D25" i="5"/>
  <c r="H25" i="5"/>
  <c r="D22" i="11"/>
  <c r="B24" i="5"/>
  <c r="B19" i="13"/>
  <c r="I7" i="11"/>
  <c r="H7" i="13"/>
  <c r="D7" i="13"/>
  <c r="D19" i="13"/>
  <c r="D10" i="13"/>
  <c r="B5" i="13"/>
  <c r="H6" i="13"/>
  <c r="D6" i="13"/>
  <c r="I23" i="11"/>
  <c r="I22" i="11" s="1"/>
  <c r="H5" i="11"/>
  <c r="D5" i="11"/>
  <c r="F23" i="11"/>
  <c r="F25" i="11"/>
  <c r="I11" i="11"/>
  <c r="F39" i="7"/>
  <c r="C37" i="7"/>
  <c r="P13" i="11"/>
  <c r="O37" i="7" s="1"/>
  <c r="L24" i="11"/>
  <c r="L22" i="11" s="1"/>
  <c r="J5" i="11"/>
  <c r="F6" i="11"/>
  <c r="C5" i="11"/>
  <c r="F11" i="11"/>
  <c r="L11" i="11"/>
  <c r="F8" i="11"/>
  <c r="F7" i="11"/>
  <c r="B37" i="7"/>
  <c r="P12" i="11"/>
  <c r="M11" i="11"/>
  <c r="I6" i="11"/>
  <c r="G5" i="11"/>
  <c r="F37" i="7"/>
  <c r="N11" i="11"/>
  <c r="F24" i="11"/>
  <c r="C39" i="7"/>
  <c r="J12" i="5"/>
  <c r="L36" i="6" s="1"/>
  <c r="B36" i="6"/>
  <c r="J14" i="5"/>
  <c r="N36" i="6" s="1"/>
  <c r="D36" i="6"/>
  <c r="D11" i="5"/>
  <c r="H11" i="5"/>
  <c r="J13" i="5"/>
  <c r="M36" i="6" s="1"/>
  <c r="C36" i="6"/>
  <c r="F5" i="5"/>
  <c r="J15" i="5"/>
  <c r="O36" i="6" s="1"/>
  <c r="E36" i="6"/>
  <c r="H7" i="5"/>
  <c r="D7" i="5"/>
  <c r="H8" i="5"/>
  <c r="D8" i="5"/>
  <c r="H9" i="5"/>
  <c r="D9" i="5"/>
  <c r="D6" i="5"/>
  <c r="H6" i="5"/>
  <c r="B5" i="5"/>
  <c r="H5" i="5" l="1"/>
  <c r="J28" i="5"/>
  <c r="O38" i="6" s="1"/>
  <c r="F36" i="6"/>
  <c r="E39" i="7"/>
  <c r="P36" i="6"/>
  <c r="J27" i="5"/>
  <c r="N38" i="6" s="1"/>
  <c r="D38" i="6"/>
  <c r="I39" i="7"/>
  <c r="J25" i="5"/>
  <c r="L38" i="6" s="1"/>
  <c r="B38" i="6"/>
  <c r="J26" i="5"/>
  <c r="M38" i="6" s="1"/>
  <c r="C38" i="6"/>
  <c r="N22" i="11"/>
  <c r="F22" i="11"/>
  <c r="M22" i="11"/>
  <c r="D24" i="5"/>
  <c r="H24" i="5"/>
  <c r="I37" i="7"/>
  <c r="P24" i="11"/>
  <c r="O39" i="7" s="1"/>
  <c r="J7" i="13"/>
  <c r="J6" i="13"/>
  <c r="H5" i="13"/>
  <c r="D5" i="13"/>
  <c r="I5" i="11"/>
  <c r="L5" i="11"/>
  <c r="M5" i="11"/>
  <c r="C11" i="14" s="1"/>
  <c r="P6" i="11"/>
  <c r="N37" i="7"/>
  <c r="Q37" i="7" s="1"/>
  <c r="P11" i="11"/>
  <c r="P23" i="11"/>
  <c r="N39" i="7" s="1"/>
  <c r="P8" i="11"/>
  <c r="N5" i="11"/>
  <c r="F11" i="14" s="1"/>
  <c r="E37" i="7"/>
  <c r="P7" i="11"/>
  <c r="F5" i="11"/>
  <c r="J11" i="5"/>
  <c r="D5" i="5"/>
  <c r="J6" i="5"/>
  <c r="J9" i="5"/>
  <c r="J7" i="5"/>
  <c r="J8" i="5"/>
  <c r="I11" i="14" l="1"/>
  <c r="G11" i="14"/>
  <c r="J5" i="5"/>
  <c r="B11" i="14"/>
  <c r="F38" i="6"/>
  <c r="Q39" i="7"/>
  <c r="P38" i="6"/>
  <c r="J24" i="5"/>
  <c r="P22" i="11"/>
  <c r="J5" i="13"/>
  <c r="P5" i="11"/>
  <c r="H11" i="14" l="1"/>
  <c r="D11" i="14"/>
  <c r="J29" i="11"/>
  <c r="L29" i="11" s="1"/>
  <c r="J11" i="14" l="1"/>
  <c r="F30" i="11"/>
  <c r="H11" i="13" l="1"/>
  <c r="H20" i="13" s="1"/>
  <c r="H12" i="13"/>
  <c r="H21" i="13" s="1"/>
  <c r="J12" i="13" l="1"/>
  <c r="C37" i="8"/>
  <c r="C37" i="14" s="1"/>
  <c r="H10" i="13"/>
  <c r="B37" i="8"/>
  <c r="B37" i="14" s="1"/>
  <c r="J11" i="13"/>
  <c r="H37" i="14" l="1"/>
  <c r="I37" i="14"/>
  <c r="D37" i="14"/>
  <c r="I37" i="8"/>
  <c r="D37" i="8"/>
  <c r="J20" i="13"/>
  <c r="H19" i="13"/>
  <c r="J10" i="13"/>
  <c r="H37" i="8"/>
  <c r="J21" i="13"/>
  <c r="J37" i="14" l="1"/>
  <c r="J37" i="8"/>
  <c r="J19" i="13"/>
  <c r="B17" i="4" l="1"/>
  <c r="A17" i="8" l="1"/>
  <c r="A16" i="6"/>
  <c r="A17" i="7"/>
  <c r="A17" i="2"/>
  <c r="A17" i="14"/>
  <c r="A15" i="9"/>
  <c r="A19" i="14"/>
  <c r="A18" i="6"/>
  <c r="A17" i="9"/>
  <c r="A19" i="2"/>
  <c r="A19" i="7"/>
  <c r="A19" i="8"/>
  <c r="B23" i="2" l="1"/>
  <c r="B32" i="2" s="1"/>
  <c r="L23" i="2"/>
  <c r="L32" i="2" s="1"/>
  <c r="E23" i="7"/>
  <c r="E32" i="7" s="1"/>
  <c r="F23" i="7"/>
  <c r="F32" i="7" s="1"/>
  <c r="G23" i="7"/>
  <c r="G32" i="7" s="1"/>
  <c r="B23" i="7"/>
  <c r="B32" i="7" s="1"/>
  <c r="O23" i="7"/>
  <c r="O32" i="7" s="1"/>
  <c r="Q23" i="7"/>
  <c r="Q32" i="7" s="1"/>
  <c r="C23" i="7"/>
  <c r="C32" i="7" s="1"/>
  <c r="N23" i="7"/>
  <c r="N32" i="7" s="1"/>
  <c r="I23" i="7"/>
  <c r="I32" i="7" s="1"/>
  <c r="B18" i="9"/>
  <c r="B20" i="9"/>
  <c r="B27" i="9" s="1"/>
  <c r="B14" i="9"/>
  <c r="B16" i="9" s="1"/>
  <c r="B19" i="9"/>
  <c r="B26" i="9" s="1"/>
  <c r="C22" i="6"/>
  <c r="C31" i="6" s="1"/>
  <c r="E22" i="6"/>
  <c r="E31" i="6" s="1"/>
  <c r="B22" i="6"/>
  <c r="B31" i="6" s="1"/>
  <c r="O22" i="6"/>
  <c r="O31" i="6" s="1"/>
  <c r="N22" i="6"/>
  <c r="N31" i="6" s="1"/>
  <c r="L22" i="6"/>
  <c r="L31" i="6" s="1"/>
  <c r="D22" i="6"/>
  <c r="D31" i="6" s="1"/>
  <c r="F22" i="6"/>
  <c r="F31" i="6" s="1"/>
  <c r="P22" i="6"/>
  <c r="P31" i="6" s="1"/>
  <c r="M22" i="6"/>
  <c r="M31" i="6" s="1"/>
  <c r="F23" i="14"/>
  <c r="F32" i="14" s="1"/>
  <c r="D23" i="14"/>
  <c r="D32" i="14" s="1"/>
  <c r="J23" i="14"/>
  <c r="J32" i="14" s="1"/>
  <c r="B23" i="14"/>
  <c r="B32" i="14" s="1"/>
  <c r="C23" i="14"/>
  <c r="C32" i="14" s="1"/>
  <c r="I23" i="14"/>
  <c r="I32" i="14" s="1"/>
  <c r="G23" i="14"/>
  <c r="G32" i="14" s="1"/>
  <c r="H23" i="14"/>
  <c r="H32" i="14" s="1"/>
  <c r="C23" i="8"/>
  <c r="C32" i="8" s="1"/>
  <c r="J23" i="8"/>
  <c r="J32" i="8" s="1"/>
  <c r="H23" i="8"/>
  <c r="H32" i="8" s="1"/>
  <c r="B23" i="8"/>
  <c r="B32" i="8" s="1"/>
  <c r="D23" i="8"/>
  <c r="D32" i="8" s="1"/>
  <c r="I23" i="8"/>
  <c r="I32" i="8" s="1"/>
  <c r="B22" i="9" l="1"/>
  <c r="B25" i="9"/>
  <c r="B29" i="9" s="1"/>
  <c r="B34" i="9" s="1"/>
  <c r="G20" i="7" l="1"/>
  <c r="G29" i="7" l="1"/>
  <c r="F20" i="7" l="1"/>
  <c r="F20" i="14"/>
  <c r="I20" i="7"/>
  <c r="F29" i="14" l="1"/>
  <c r="G20" i="14"/>
  <c r="I29" i="7"/>
  <c r="F29" i="7"/>
  <c r="G29" i="14" l="1"/>
  <c r="F22" i="7" l="1"/>
  <c r="F31" i="7" s="1"/>
  <c r="G22" i="7"/>
  <c r="G31" i="7" s="1"/>
  <c r="I22" i="7"/>
  <c r="I31" i="7" s="1"/>
  <c r="E22" i="7" l="1"/>
  <c r="E31" i="7" s="1"/>
  <c r="B22" i="8"/>
  <c r="B31" i="8" s="1"/>
  <c r="D22" i="8"/>
  <c r="D31" i="8" s="1"/>
  <c r="C22" i="7"/>
  <c r="C31" i="7" s="1"/>
  <c r="I22" i="8"/>
  <c r="I31" i="8" s="1"/>
  <c r="B22" i="7"/>
  <c r="B31" i="7" s="1"/>
  <c r="C22" i="8"/>
  <c r="C31" i="8" s="1"/>
  <c r="B21" i="6"/>
  <c r="B30" i="6" s="1"/>
  <c r="F21" i="6"/>
  <c r="F30" i="6" s="1"/>
  <c r="C21" i="6" l="1"/>
  <c r="C30" i="6" s="1"/>
  <c r="N22" i="7"/>
  <c r="N31" i="7" s="1"/>
  <c r="O22" i="7"/>
  <c r="O31" i="7" s="1"/>
  <c r="G22" i="14"/>
  <c r="G31" i="14" s="1"/>
  <c r="E21" i="6"/>
  <c r="E30" i="6" s="1"/>
  <c r="H22" i="8"/>
  <c r="H31" i="8" s="1"/>
  <c r="N21" i="6"/>
  <c r="N30" i="6" s="1"/>
  <c r="F22" i="14"/>
  <c r="F31" i="14" s="1"/>
  <c r="Q22" i="7"/>
  <c r="Q31" i="7" s="1"/>
  <c r="O21" i="6"/>
  <c r="O30" i="6" s="1"/>
  <c r="J22" i="8"/>
  <c r="J31" i="8" s="1"/>
  <c r="M21" i="6"/>
  <c r="M30" i="6" s="1"/>
  <c r="D21" i="6"/>
  <c r="D30" i="6" s="1"/>
  <c r="P21" i="6" l="1"/>
  <c r="P30" i="6" s="1"/>
  <c r="C22" i="14"/>
  <c r="C31" i="14" s="1"/>
  <c r="L21" i="6"/>
  <c r="L30" i="6" s="1"/>
  <c r="I22" i="14" l="1"/>
  <c r="I31" i="14" s="1"/>
  <c r="B22" i="2" l="1"/>
  <c r="B31" i="2" s="1"/>
  <c r="O20" i="7" l="1"/>
  <c r="C19" i="6" l="1"/>
  <c r="B20" i="8"/>
  <c r="F19" i="6"/>
  <c r="D20" i="8"/>
  <c r="E19" i="6"/>
  <c r="C20" i="7"/>
  <c r="E20" i="7"/>
  <c r="B19" i="6"/>
  <c r="D19" i="6"/>
  <c r="B20" i="7"/>
  <c r="C20" i="8"/>
  <c r="O29" i="7"/>
  <c r="N20" i="7" l="1"/>
  <c r="O19" i="6"/>
  <c r="F28" i="6"/>
  <c r="B29" i="7"/>
  <c r="C20" i="14"/>
  <c r="B29" i="8"/>
  <c r="M19" i="6"/>
  <c r="Q20" i="7"/>
  <c r="H20" i="8"/>
  <c r="B28" i="6"/>
  <c r="D29" i="8"/>
  <c r="I20" i="8"/>
  <c r="C29" i="7"/>
  <c r="C29" i="8"/>
  <c r="E29" i="7"/>
  <c r="J20" i="8"/>
  <c r="P19" i="6"/>
  <c r="D28" i="6"/>
  <c r="L19" i="6"/>
  <c r="N19" i="6"/>
  <c r="E28" i="6"/>
  <c r="C28" i="6"/>
  <c r="P28" i="6" l="1"/>
  <c r="M28" i="6"/>
  <c r="I20" i="14"/>
  <c r="I29" i="8"/>
  <c r="Q29" i="7"/>
  <c r="N29" i="7"/>
  <c r="N28" i="6"/>
  <c r="H29" i="8"/>
  <c r="C29" i="14"/>
  <c r="O28" i="6"/>
  <c r="L28" i="6"/>
  <c r="J29" i="8"/>
  <c r="I29" i="14" l="1"/>
  <c r="F21" i="7" l="1"/>
  <c r="F14" i="7"/>
  <c r="F13" i="7"/>
  <c r="F30" i="7" l="1"/>
  <c r="F26" i="7"/>
  <c r="F25" i="7"/>
  <c r="F34" i="7" l="1"/>
  <c r="F35" i="7"/>
  <c r="G21" i="7" l="1"/>
  <c r="G14" i="7"/>
  <c r="G13" i="7"/>
  <c r="I21" i="7"/>
  <c r="I13" i="7"/>
  <c r="I14" i="7"/>
  <c r="G30" i="7" l="1"/>
  <c r="G25" i="7"/>
  <c r="G26" i="7"/>
  <c r="I30" i="7"/>
  <c r="I25" i="7"/>
  <c r="I26" i="7"/>
  <c r="F21" i="14"/>
  <c r="F14" i="14"/>
  <c r="F13" i="14"/>
  <c r="I34" i="7" l="1"/>
  <c r="I35" i="7"/>
  <c r="G21" i="14"/>
  <c r="G14" i="14"/>
  <c r="G13" i="14"/>
  <c r="F30" i="14"/>
  <c r="F26" i="14"/>
  <c r="F25" i="14"/>
  <c r="G35" i="7"/>
  <c r="G34" i="7"/>
  <c r="G30" i="14" l="1"/>
  <c r="G26" i="14"/>
  <c r="G25" i="14"/>
  <c r="F34" i="14"/>
  <c r="F35" i="14"/>
  <c r="G34" i="14" l="1"/>
  <c r="G35" i="14"/>
  <c r="B21" i="2" l="1"/>
  <c r="B30" i="2" s="1"/>
  <c r="B20" i="6" l="1"/>
  <c r="B13" i="6"/>
  <c r="B14" i="6"/>
  <c r="C21" i="8"/>
  <c r="C14" i="8"/>
  <c r="C13" i="8"/>
  <c r="C21" i="7"/>
  <c r="C13" i="7"/>
  <c r="C14" i="7"/>
  <c r="F20" i="6"/>
  <c r="F14" i="6"/>
  <c r="F13" i="6"/>
  <c r="D21" i="8"/>
  <c r="D13" i="8"/>
  <c r="D14" i="8"/>
  <c r="B21" i="7"/>
  <c r="B14" i="7"/>
  <c r="B13" i="7"/>
  <c r="D20" i="6"/>
  <c r="D13" i="6"/>
  <c r="D14" i="6"/>
  <c r="E21" i="7"/>
  <c r="E14" i="7"/>
  <c r="E13" i="7"/>
  <c r="C20" i="6"/>
  <c r="C13" i="6"/>
  <c r="C14" i="6"/>
  <c r="B21" i="8"/>
  <c r="B14" i="8"/>
  <c r="B13" i="8"/>
  <c r="E20" i="6"/>
  <c r="E14" i="6"/>
  <c r="E13" i="6"/>
  <c r="B30" i="7" l="1"/>
  <c r="B25" i="7"/>
  <c r="B26" i="7"/>
  <c r="N20" i="6"/>
  <c r="N14" i="6"/>
  <c r="N13" i="6"/>
  <c r="O20" i="6"/>
  <c r="O13" i="6"/>
  <c r="O14" i="6"/>
  <c r="J21" i="8"/>
  <c r="J13" i="8"/>
  <c r="J14" i="8"/>
  <c r="E29" i="6"/>
  <c r="E24" i="6"/>
  <c r="E25" i="6"/>
  <c r="D29" i="6"/>
  <c r="D25" i="6"/>
  <c r="D24" i="6"/>
  <c r="C30" i="7"/>
  <c r="C25" i="7"/>
  <c r="C26" i="7"/>
  <c r="B30" i="8"/>
  <c r="B25" i="8"/>
  <c r="B26" i="8"/>
  <c r="I21" i="8"/>
  <c r="I14" i="8"/>
  <c r="I13" i="8"/>
  <c r="E30" i="7"/>
  <c r="E25" i="7"/>
  <c r="E26" i="7"/>
  <c r="P20" i="6"/>
  <c r="P14" i="6"/>
  <c r="P13" i="6"/>
  <c r="F29" i="6"/>
  <c r="F25" i="6"/>
  <c r="F24" i="6"/>
  <c r="H21" i="8"/>
  <c r="H13" i="8"/>
  <c r="H14" i="8"/>
  <c r="L20" i="6"/>
  <c r="L14" i="6"/>
  <c r="L13" i="6"/>
  <c r="C30" i="8"/>
  <c r="C26" i="8"/>
  <c r="C25" i="8"/>
  <c r="M20" i="6"/>
  <c r="M14" i="6"/>
  <c r="M13" i="6"/>
  <c r="C29" i="6"/>
  <c r="C25" i="6"/>
  <c r="C24" i="6"/>
  <c r="C21" i="14"/>
  <c r="C14" i="14"/>
  <c r="C13" i="14"/>
  <c r="D30" i="8"/>
  <c r="D26" i="8"/>
  <c r="D25" i="8"/>
  <c r="B29" i="6"/>
  <c r="B25" i="6"/>
  <c r="B24" i="6"/>
  <c r="E34" i="7" l="1"/>
  <c r="E35" i="7"/>
  <c r="D33" i="6"/>
  <c r="D34" i="6"/>
  <c r="N29" i="6"/>
  <c r="N25" i="6"/>
  <c r="N24" i="6"/>
  <c r="M29" i="6"/>
  <c r="M24" i="6"/>
  <c r="M25" i="6"/>
  <c r="L29" i="6"/>
  <c r="L24" i="6"/>
  <c r="L25" i="6"/>
  <c r="C34" i="7"/>
  <c r="C35" i="7"/>
  <c r="O29" i="6"/>
  <c r="O24" i="6"/>
  <c r="O25" i="6"/>
  <c r="B33" i="6"/>
  <c r="B34" i="6"/>
  <c r="C30" i="14"/>
  <c r="C25" i="14"/>
  <c r="C26" i="14"/>
  <c r="C34" i="6"/>
  <c r="C33" i="6"/>
  <c r="C35" i="8"/>
  <c r="C34" i="8"/>
  <c r="P29" i="6"/>
  <c r="P25" i="6"/>
  <c r="P24" i="6"/>
  <c r="B35" i="8"/>
  <c r="B34" i="8"/>
  <c r="J30" i="8"/>
  <c r="J25" i="8"/>
  <c r="J26" i="8"/>
  <c r="H30" i="8"/>
  <c r="H25" i="8"/>
  <c r="H26" i="8"/>
  <c r="D34" i="8"/>
  <c r="D35" i="8"/>
  <c r="I21" i="14"/>
  <c r="I14" i="14"/>
  <c r="I13" i="14"/>
  <c r="F33" i="6"/>
  <c r="F34" i="6"/>
  <c r="I30" i="8"/>
  <c r="I25" i="8"/>
  <c r="I26" i="8"/>
  <c r="E34" i="6"/>
  <c r="E33" i="6"/>
  <c r="B35" i="7"/>
  <c r="B34" i="7"/>
  <c r="O34" i="6" l="1"/>
  <c r="O33" i="6"/>
  <c r="M34" i="6"/>
  <c r="M33" i="6"/>
  <c r="H34" i="8"/>
  <c r="H35" i="8"/>
  <c r="P34" i="6"/>
  <c r="P33" i="6"/>
  <c r="L34" i="6"/>
  <c r="L33" i="6"/>
  <c r="I30" i="14"/>
  <c r="I25" i="14"/>
  <c r="I26" i="14"/>
  <c r="J35" i="8"/>
  <c r="J34" i="8"/>
  <c r="I34" i="8"/>
  <c r="I35" i="8"/>
  <c r="C34" i="14"/>
  <c r="C35" i="14"/>
  <c r="N34" i="6"/>
  <c r="N33" i="6"/>
  <c r="I34" i="14" l="1"/>
  <c r="I35" i="14"/>
  <c r="B14" i="2" l="1"/>
  <c r="B13" i="2"/>
  <c r="B20" i="2"/>
  <c r="B26" i="2" l="1"/>
  <c r="B25" i="2"/>
  <c r="B29" i="2"/>
  <c r="B35" i="2" l="1"/>
  <c r="B34" i="2"/>
  <c r="O21" i="7" l="1"/>
  <c r="O14" i="7"/>
  <c r="O13" i="7"/>
  <c r="N21" i="7"/>
  <c r="N14" i="7"/>
  <c r="N13" i="7"/>
  <c r="Q21" i="7"/>
  <c r="Q14" i="7"/>
  <c r="Q13" i="7"/>
  <c r="Q30" i="7" l="1"/>
  <c r="Q25" i="7"/>
  <c r="Q26" i="7"/>
  <c r="N30" i="7"/>
  <c r="N25" i="7"/>
  <c r="N26" i="7"/>
  <c r="O30" i="7"/>
  <c r="O25" i="7"/>
  <c r="O26" i="7"/>
  <c r="N34" i="7" l="1"/>
  <c r="N35" i="7"/>
  <c r="O34" i="7"/>
  <c r="O35" i="7"/>
  <c r="Q35" i="7"/>
  <c r="Q34" i="7"/>
  <c r="L22" i="2" l="1"/>
  <c r="L31" i="2" s="1"/>
  <c r="B22" i="14" l="1"/>
  <c r="B31" i="14" s="1"/>
  <c r="D22" i="14" l="1"/>
  <c r="D31" i="14" s="1"/>
  <c r="L20" i="2"/>
  <c r="H22" i="14"/>
  <c r="H31" i="14" s="1"/>
  <c r="B20" i="14" l="1"/>
  <c r="L29" i="2"/>
  <c r="J22" i="14"/>
  <c r="J31" i="14" s="1"/>
  <c r="D20" i="14" l="1"/>
  <c r="B29" i="14"/>
  <c r="H20" i="14"/>
  <c r="L21" i="2"/>
  <c r="L14" i="2"/>
  <c r="L13" i="2"/>
  <c r="L30" i="2" l="1"/>
  <c r="L25" i="2"/>
  <c r="L26" i="2"/>
  <c r="H29" i="14"/>
  <c r="B21" i="14"/>
  <c r="B13" i="14"/>
  <c r="B14" i="14"/>
  <c r="J20" i="14"/>
  <c r="D29" i="14"/>
  <c r="B30" i="14" l="1"/>
  <c r="B26" i="14"/>
  <c r="B25" i="14"/>
  <c r="J29" i="14"/>
  <c r="D21" i="14"/>
  <c r="D14" i="14"/>
  <c r="D13" i="14"/>
  <c r="H21" i="14"/>
  <c r="H13" i="14"/>
  <c r="H14" i="14"/>
  <c r="L35" i="2"/>
  <c r="L34" i="2"/>
  <c r="B34" i="14" l="1"/>
  <c r="B35" i="14"/>
  <c r="H30" i="14"/>
  <c r="H25" i="14"/>
  <c r="H26" i="14"/>
  <c r="D30" i="14"/>
  <c r="D25" i="14"/>
  <c r="D26" i="14"/>
  <c r="J21" i="14"/>
  <c r="J14" i="14"/>
  <c r="J13" i="14"/>
  <c r="H34" i="14" l="1"/>
  <c r="H35" i="14"/>
  <c r="J30" i="14"/>
  <c r="J25" i="14"/>
  <c r="J26" i="14"/>
  <c r="D34" i="14"/>
  <c r="D35" i="14"/>
  <c r="J34" i="14" l="1"/>
  <c r="J35" i="14"/>
  <c r="B45" i="9" l="1"/>
  <c r="B46" i="2" l="1"/>
  <c r="F46" i="7" l="1"/>
  <c r="I46" i="7"/>
  <c r="G46" i="7"/>
  <c r="E46" i="7"/>
  <c r="D46" i="8" l="1"/>
  <c r="C46" i="8"/>
  <c r="C46" i="7"/>
  <c r="B46" i="7"/>
  <c r="B46" i="8"/>
  <c r="F46" i="14" l="1"/>
  <c r="F45" i="6"/>
  <c r="Q46" i="7"/>
  <c r="H46" i="8"/>
  <c r="I46" i="8"/>
  <c r="J46" i="8"/>
  <c r="O46" i="7"/>
  <c r="N46" i="7"/>
  <c r="C45" i="6"/>
  <c r="E45" i="6"/>
  <c r="B45" i="6"/>
  <c r="L46" i="2"/>
  <c r="D45" i="6"/>
  <c r="C46" i="14" l="1"/>
  <c r="G46" i="14"/>
  <c r="O45" i="6"/>
  <c r="L45" i="6"/>
  <c r="M45" i="6"/>
  <c r="P45" i="6"/>
  <c r="N45" i="6"/>
  <c r="B46" i="14" l="1"/>
  <c r="I46" i="14"/>
  <c r="D46" i="14" l="1"/>
  <c r="H46" i="14"/>
  <c r="J46" i="14" l="1"/>
  <c r="B16" i="10" l="1"/>
  <c r="B37" i="9" s="1"/>
  <c r="B39" i="9" s="1"/>
  <c r="B40" i="9" s="1"/>
  <c r="B47" i="9" s="1"/>
  <c r="B28" i="11" l="1"/>
  <c r="B16" i="11"/>
  <c r="F31" i="5"/>
  <c r="D28" i="11"/>
  <c r="B32" i="5"/>
  <c r="F17" i="11"/>
  <c r="C28" i="11"/>
  <c r="F28" i="11" s="1"/>
  <c r="F32" i="5"/>
  <c r="I21" i="5" l="1"/>
  <c r="C34" i="5"/>
  <c r="I34" i="5" s="1"/>
  <c r="C32" i="5"/>
  <c r="I32" i="5" s="1"/>
  <c r="I19" i="5"/>
  <c r="B34" i="5"/>
  <c r="D21" i="5"/>
  <c r="H19" i="5"/>
  <c r="K11" i="1"/>
  <c r="L38" i="2" s="1"/>
  <c r="L41" i="2" s="1"/>
  <c r="L48" i="2" s="1"/>
  <c r="B38" i="2"/>
  <c r="B41" i="2" s="1"/>
  <c r="B48" i="2" s="1"/>
  <c r="B16" i="1"/>
  <c r="K16" i="1" s="1"/>
  <c r="B33" i="5"/>
  <c r="D20" i="5"/>
  <c r="D19" i="5"/>
  <c r="C33" i="5"/>
  <c r="I33" i="5" s="1"/>
  <c r="I20" i="5"/>
  <c r="I18" i="5"/>
  <c r="C17" i="5"/>
  <c r="I17" i="5" s="1"/>
  <c r="C31" i="5"/>
  <c r="H32" i="5"/>
  <c r="J32" i="5" s="1"/>
  <c r="D32" i="5"/>
  <c r="B27" i="11"/>
  <c r="F34" i="5"/>
  <c r="H29" i="11"/>
  <c r="F33" i="5"/>
  <c r="F30" i="5" s="1"/>
  <c r="I31" i="5" l="1"/>
  <c r="C30" i="5"/>
  <c r="I30" i="5" s="1"/>
  <c r="D33" i="5"/>
  <c r="H33" i="5"/>
  <c r="J33" i="5" s="1"/>
  <c r="J19" i="5"/>
  <c r="M37" i="6" s="1"/>
  <c r="M40" i="6" s="1"/>
  <c r="M47" i="6" s="1"/>
  <c r="C37" i="6"/>
  <c r="C40" i="6" s="1"/>
  <c r="C47" i="6" s="1"/>
  <c r="G29" i="11"/>
  <c r="I29" i="11" s="1"/>
  <c r="I18" i="11"/>
  <c r="F17" i="5"/>
  <c r="H21" i="5"/>
  <c r="F18" i="11"/>
  <c r="C29" i="11"/>
  <c r="M18" i="11"/>
  <c r="C16" i="11"/>
  <c r="H20" i="5"/>
  <c r="D29" i="11"/>
  <c r="N29" i="11" s="1"/>
  <c r="N18" i="11"/>
  <c r="G38" i="7" s="1"/>
  <c r="D16" i="11"/>
  <c r="D27" i="11" s="1"/>
  <c r="L17" i="11"/>
  <c r="J16" i="11"/>
  <c r="B31" i="5"/>
  <c r="B17" i="5"/>
  <c r="D17" i="5" s="1"/>
  <c r="H18" i="5"/>
  <c r="D18" i="5"/>
  <c r="H34" i="5"/>
  <c r="J34" i="5" s="1"/>
  <c r="D34" i="5"/>
  <c r="D15" i="13" l="1"/>
  <c r="B24" i="13"/>
  <c r="B14" i="13"/>
  <c r="B23" i="13" s="1"/>
  <c r="H15" i="13"/>
  <c r="I17" i="11"/>
  <c r="G16" i="11"/>
  <c r="G28" i="11"/>
  <c r="M17" i="11"/>
  <c r="J27" i="11"/>
  <c r="L27" i="11" s="1"/>
  <c r="L16" i="11"/>
  <c r="F29" i="11"/>
  <c r="M29" i="11"/>
  <c r="P29" i="11" s="1"/>
  <c r="O38" i="7" s="1"/>
  <c r="O41" i="7" s="1"/>
  <c r="O48" i="7" s="1"/>
  <c r="B37" i="6"/>
  <c r="J18" i="5"/>
  <c r="H17" i="5"/>
  <c r="J20" i="5"/>
  <c r="N37" i="6" s="1"/>
  <c r="N40" i="6" s="1"/>
  <c r="N47" i="6" s="1"/>
  <c r="D37" i="6"/>
  <c r="D40" i="6" s="1"/>
  <c r="D47" i="6" s="1"/>
  <c r="H28" i="11"/>
  <c r="N28" i="11" s="1"/>
  <c r="H16" i="11"/>
  <c r="H27" i="11" s="1"/>
  <c r="N17" i="11"/>
  <c r="C27" i="11"/>
  <c r="F27" i="11" s="1"/>
  <c r="F16" i="11"/>
  <c r="J21" i="5"/>
  <c r="O37" i="6" s="1"/>
  <c r="O40" i="6" s="1"/>
  <c r="O47" i="6" s="1"/>
  <c r="E37" i="6"/>
  <c r="E40" i="6" s="1"/>
  <c r="E47" i="6" s="1"/>
  <c r="H16" i="13"/>
  <c r="B25" i="13"/>
  <c r="D16" i="13"/>
  <c r="D25" i="13" s="1"/>
  <c r="B30" i="5"/>
  <c r="D30" i="5" s="1"/>
  <c r="H31" i="5"/>
  <c r="D31" i="5"/>
  <c r="F38" i="14"/>
  <c r="G41" i="7"/>
  <c r="G48" i="7" s="1"/>
  <c r="P18" i="11"/>
  <c r="C38" i="7"/>
  <c r="C41" i="7" s="1"/>
  <c r="C48" i="7" s="1"/>
  <c r="F38" i="7" l="1"/>
  <c r="N16" i="11"/>
  <c r="N27" i="11" s="1"/>
  <c r="P17" i="11"/>
  <c r="M16" i="11"/>
  <c r="B38" i="7"/>
  <c r="H14" i="13"/>
  <c r="H23" i="13" s="1"/>
  <c r="J15" i="13"/>
  <c r="B38" i="8"/>
  <c r="H24" i="13"/>
  <c r="B39" i="8" s="1"/>
  <c r="G38" i="14"/>
  <c r="G41" i="14" s="1"/>
  <c r="G48" i="14" s="1"/>
  <c r="F41" i="14"/>
  <c r="F48" i="14" s="1"/>
  <c r="I28" i="11"/>
  <c r="M28" i="11"/>
  <c r="P28" i="11" s="1"/>
  <c r="N38" i="7" s="1"/>
  <c r="L37" i="6"/>
  <c r="J17" i="5"/>
  <c r="G27" i="11"/>
  <c r="I27" i="11" s="1"/>
  <c r="I16" i="11"/>
  <c r="J31" i="5"/>
  <c r="J30" i="5" s="1"/>
  <c r="H30" i="5"/>
  <c r="C38" i="8"/>
  <c r="H25" i="13"/>
  <c r="C39" i="8" s="1"/>
  <c r="C39" i="14" s="1"/>
  <c r="I39" i="14" s="1"/>
  <c r="J16" i="13"/>
  <c r="F37" i="6"/>
  <c r="F40" i="6" s="1"/>
  <c r="F47" i="6" s="1"/>
  <c r="B40" i="6"/>
  <c r="B47" i="6" s="1"/>
  <c r="D24" i="13"/>
  <c r="D14" i="13"/>
  <c r="D23" i="13" s="1"/>
  <c r="C41" i="8" l="1"/>
  <c r="C48" i="8" s="1"/>
  <c r="B38" i="14"/>
  <c r="D38" i="8"/>
  <c r="B41" i="8"/>
  <c r="B48" i="8" s="1"/>
  <c r="P16" i="11"/>
  <c r="P27" i="11" s="1"/>
  <c r="M27" i="11"/>
  <c r="H38" i="8"/>
  <c r="J14" i="13"/>
  <c r="J23" i="13" s="1"/>
  <c r="J24" i="13"/>
  <c r="H39" i="8" s="1"/>
  <c r="J39" i="8" s="1"/>
  <c r="I38" i="8"/>
  <c r="I41" i="8" s="1"/>
  <c r="I48" i="8" s="1"/>
  <c r="J25" i="13"/>
  <c r="I39" i="8" s="1"/>
  <c r="P37" i="6"/>
  <c r="P40" i="6" s="1"/>
  <c r="P47" i="6" s="1"/>
  <c r="L40" i="6"/>
  <c r="L47" i="6" s="1"/>
  <c r="Q38" i="7"/>
  <c r="N41" i="7"/>
  <c r="N48" i="7" s="1"/>
  <c r="B39" i="14"/>
  <c r="D39" i="8"/>
  <c r="E38" i="7"/>
  <c r="E41" i="7" s="1"/>
  <c r="E48" i="7" s="1"/>
  <c r="B41" i="7"/>
  <c r="B48" i="7" s="1"/>
  <c r="I38" i="7"/>
  <c r="I41" i="7" s="1"/>
  <c r="I48" i="7" s="1"/>
  <c r="F41" i="7"/>
  <c r="F48" i="7" s="1"/>
  <c r="D39" i="14" l="1"/>
  <c r="H39" i="14"/>
  <c r="J39" i="14" s="1"/>
  <c r="J38" i="8"/>
  <c r="J41" i="8" s="1"/>
  <c r="J48" i="8" s="1"/>
  <c r="H41" i="8"/>
  <c r="H48" i="8" s="1"/>
  <c r="D41" i="8"/>
  <c r="D48" i="8" s="1"/>
  <c r="C38" i="14"/>
  <c r="Q41" i="7"/>
  <c r="Q48" i="7" s="1"/>
  <c r="H38" i="14"/>
  <c r="B41" i="14"/>
  <c r="B48" i="14" s="1"/>
  <c r="H41" i="14" l="1"/>
  <c r="H48" i="14" s="1"/>
  <c r="I38" i="14"/>
  <c r="I41" i="14" s="1"/>
  <c r="I48" i="14" s="1"/>
  <c r="C41" i="14"/>
  <c r="C48" i="14" s="1"/>
  <c r="D38" i="14"/>
  <c r="D41" i="14" s="1"/>
  <c r="D48" i="14" s="1"/>
  <c r="J38" i="14" l="1"/>
  <c r="J41" i="14" s="1"/>
  <c r="J48" i="14" s="1"/>
</calcChain>
</file>

<file path=xl/sharedStrings.xml><?xml version="1.0" encoding="utf-8"?>
<sst xmlns="http://schemas.openxmlformats.org/spreadsheetml/2006/main" count="459" uniqueCount="141">
  <si>
    <t>Cost Component</t>
  </si>
  <si>
    <t>DR</t>
  </si>
  <si>
    <t>DR-TOU</t>
  </si>
  <si>
    <t>DR-SES</t>
  </si>
  <si>
    <t>DM</t>
  </si>
  <si>
    <t>DS</t>
  </si>
  <si>
    <t>DT</t>
  </si>
  <si>
    <t>DT-RV</t>
  </si>
  <si>
    <t>Class</t>
  </si>
  <si>
    <t xml:space="preserve">   (Beginning Of Year)</t>
  </si>
  <si>
    <t xml:space="preserve">   Replacement Customers</t>
  </si>
  <si>
    <t>New Plus Replacement Customers</t>
  </si>
  <si>
    <t xml:space="preserve">     </t>
  </si>
  <si>
    <t>TSM Components</t>
  </si>
  <si>
    <t xml:space="preserve">    Transformers </t>
  </si>
  <si>
    <t xml:space="preserve">    Services</t>
  </si>
  <si>
    <t xml:space="preserve">    Meters</t>
  </si>
  <si>
    <t>Subtotal</t>
  </si>
  <si>
    <t xml:space="preserve">    Transformers (line)</t>
  </si>
  <si>
    <t xml:space="preserve">    Services (UG)</t>
  </si>
  <si>
    <t>PVRR of TSM Components</t>
  </si>
  <si>
    <t>O&amp;M Expenses</t>
  </si>
  <si>
    <t>Customer Accounts/Services</t>
  </si>
  <si>
    <t>EV-TOU-2</t>
  </si>
  <si>
    <t>EV-TOU-1</t>
  </si>
  <si>
    <t>General Plant Loading at</t>
  </si>
  <si>
    <t>Working Capital at</t>
  </si>
  <si>
    <t xml:space="preserve">    Transformers</t>
  </si>
  <si>
    <t>Marginal Customer Cost Development Loading Factors</t>
  </si>
  <si>
    <t>General Plant Loading Factor (GPL) =</t>
  </si>
  <si>
    <t>Working Capital =</t>
  </si>
  <si>
    <t xml:space="preserve">    Transformers (368.1)</t>
  </si>
  <si>
    <t xml:space="preserve">    Services (369.2)</t>
  </si>
  <si>
    <t>A-TC</t>
  </si>
  <si>
    <t>UM</t>
  </si>
  <si>
    <t>Secondary</t>
  </si>
  <si>
    <t>Total</t>
  </si>
  <si>
    <t xml:space="preserve">        &gt; 5-20 kW</t>
  </si>
  <si>
    <t xml:space="preserve">        &gt; 20-50 kW</t>
  </si>
  <si>
    <t xml:space="preserve">        &gt; 50 kW</t>
  </si>
  <si>
    <t>Primary</t>
  </si>
  <si>
    <t>Small Commercial Total</t>
  </si>
  <si>
    <t>0-5 kW</t>
  </si>
  <si>
    <t>&gt;5 - 20 kW</t>
  </si>
  <si>
    <t>&gt;20 - 50 kW</t>
  </si>
  <si>
    <t>&gt;50 kW</t>
  </si>
  <si>
    <t>Sec Total</t>
  </si>
  <si>
    <t>Pri Total</t>
  </si>
  <si>
    <t>≤ 500 kW</t>
  </si>
  <si>
    <t>&gt; 500 kW - 12 MW</t>
  </si>
  <si>
    <t>&gt; 12 MW</t>
  </si>
  <si>
    <t>Total-Agricultural Class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</si>
  <si>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20 MW</t>
    </r>
  </si>
  <si>
    <t>&gt; 20 MW</t>
  </si>
  <si>
    <t>Unmetered Lighting</t>
  </si>
  <si>
    <t>TSM Components per Lamp basis</t>
  </si>
  <si>
    <t>AL-TOU</t>
  </si>
  <si>
    <t>DGR</t>
  </si>
  <si>
    <t>A6-TOU</t>
  </si>
  <si>
    <t>Subtotal per Lamp Basis</t>
  </si>
  <si>
    <r>
      <t xml:space="preserve">   </t>
    </r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</si>
  <si>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 xml:space="preserve">   &gt; 500 kW - 12 MW</t>
  </si>
  <si>
    <t xml:space="preserve">   &gt; 12 MW</t>
  </si>
  <si>
    <t>Total M/L C&amp;I Class</t>
  </si>
  <si>
    <t xml:space="preserve">        ≤ 5 kW</t>
  </si>
  <si>
    <t xml:space="preserve">   &lt; 20 kW</t>
  </si>
  <si>
    <r>
      <t xml:space="preserve">   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</si>
  <si>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>PA-T-1</t>
  </si>
  <si>
    <t xml:space="preserve">Note: </t>
  </si>
  <si>
    <t>EV-TOU</t>
  </si>
  <si>
    <t>Transmission</t>
  </si>
  <si>
    <t>Medium/Large C&amp;I Total</t>
  </si>
  <si>
    <t>OL-TOU</t>
  </si>
  <si>
    <t>Total Small Commercial</t>
  </si>
  <si>
    <t>Notes:</t>
  </si>
  <si>
    <t xml:space="preserve">   New Customers Assumed</t>
  </si>
  <si>
    <t>NCO TSM Component per Lamp</t>
  </si>
  <si>
    <t>Smart Meters (370.11)</t>
  </si>
  <si>
    <t>Smart Meter Installation (370.21)</t>
  </si>
  <si>
    <t xml:space="preserve">    Smart Meter Average</t>
  </si>
  <si>
    <t>(2) PVRR of TSM components from SDG&amp;E Financial Assumption file.</t>
  </si>
  <si>
    <t>Miscellaneous Revenue Offset</t>
  </si>
  <si>
    <t>Subtotal for Replacements (w/o meter labor costs)</t>
  </si>
  <si>
    <t xml:space="preserve">    Replacement Meters (w/o meter labor costs)</t>
  </si>
  <si>
    <t>New Customers</t>
  </si>
  <si>
    <t>Replacement Customers</t>
  </si>
  <si>
    <t>NCO TSM Component per Customer</t>
  </si>
  <si>
    <t>Subtotal per Customer Basis</t>
  </si>
  <si>
    <t>Note: TSM (Rows 8-10), Number of Lamps (Row 31), Number of Customers (Row 32), O&amp;M Expenses (Row 42), Miscellaneous Revenue Offset (Row 43),</t>
  </si>
  <si>
    <t>NCO - RESIDENTIAL CLASS - 2020$</t>
  </si>
  <si>
    <t>NCO - SMALL COMMERCIAL - 2020$</t>
  </si>
  <si>
    <t>NCO - MEDIUM/LARGE C&amp;I - 2020$</t>
  </si>
  <si>
    <t>NCO - AGRICULTURAL - 2020$</t>
  </si>
  <si>
    <t>NCO - LIGHTING CLASS - 2020$</t>
  </si>
  <si>
    <t>NCO - 2020 CUSTOMERS - SMALL COMMERCIAL CLASS</t>
  </si>
  <si>
    <t>NCO - 2020 CUSTOMERS - MEDIUM/LARGE COMMERCIAL INDUSTRIAL (M/L C&amp;I) CLASS</t>
  </si>
  <si>
    <t>NCO - 2020 CUSTOMERS - AGRICULTURAL CLASS</t>
  </si>
  <si>
    <t>NCO - 2020 CUSTOMERS - LIGHTING CLASS</t>
  </si>
  <si>
    <t>(3) Miscellaneous Revenue per Customer component from 2019 GRC Phase 1 miscellaneous cost data and the total forecasted</t>
  </si>
  <si>
    <r>
      <t xml:space="preserve">     </t>
    </r>
    <r>
      <rPr>
        <sz val="10"/>
        <rFont val="Arial"/>
        <family val="2"/>
      </rPr>
      <t>2020 Customers number.</t>
    </r>
  </si>
  <si>
    <t>Total Forecasted 2020 Customers =</t>
  </si>
  <si>
    <t>2020 Miscellaneous Revenue per Customer =</t>
  </si>
  <si>
    <t>TOU-DR</t>
  </si>
  <si>
    <t xml:space="preserve">   Forecast 2020 Avg</t>
  </si>
  <si>
    <t xml:space="preserve">   Forecast 2020 BOY</t>
  </si>
  <si>
    <t>(1) Forecasted number of customers consistent with the customer forecast in the 2019 GRC Phase 1 (A.17-10-007) Direct Testimony of Kenneth E. Schiermeyer, Exhibit SDG&amp;E-38.</t>
  </si>
  <si>
    <t xml:space="preserve">     Exhibit SDG&amp;E-38.</t>
  </si>
  <si>
    <t>(1) Forecasted number of customers consistent with the customer forecast in the 2019 GRC Phase 1 (A.17-10-007) Direct Testimony of Kenneth E. Schiermeyer,</t>
  </si>
  <si>
    <t>(2) 2020 Service Voltage Percentages from the system determinants file.</t>
  </si>
  <si>
    <t>Note: Forecasted number of customers consistent with the customer forecast in the 2019 GRC Phase 1</t>
  </si>
  <si>
    <t xml:space="preserve">        (A.17-10-007) Direct Testimony of Kenneth E. Schiermeyer, Exhibit SDG&amp;E-38.</t>
  </si>
  <si>
    <t>TOU-A</t>
  </si>
  <si>
    <t>2020 Miscellaneous Revenues =</t>
  </si>
  <si>
    <t>2020 Beginning Of Year (BOY)</t>
  </si>
  <si>
    <t>NCO TSM Component per 2020 Customer</t>
  </si>
  <si>
    <t>Subtotal per 2020 Customer</t>
  </si>
  <si>
    <t>Annual NCO per 2020 Customer</t>
  </si>
  <si>
    <t>Subtotal per 2020 Lamp</t>
  </si>
  <si>
    <t>Annual NCO per 2020 Lamp</t>
  </si>
  <si>
    <t>NCO - 2020 CUSTOMERS - RESIDENTIAL CLASS</t>
  </si>
  <si>
    <t xml:space="preserve">    Transformers (368.1) at 123.76%</t>
  </si>
  <si>
    <t xml:space="preserve">    Services (369.2) at 123.27%</t>
  </si>
  <si>
    <t>Average 2020 Number of Lamps</t>
  </si>
  <si>
    <t>Average 2020 Number of Customers</t>
  </si>
  <si>
    <t>Total-School Class</t>
  </si>
  <si>
    <t>Note: Forecasted number of School class customers based on the current customer count plus new customers and replacement customers based on the residential class.</t>
  </si>
  <si>
    <t>NCO - SCHOOL (Non-Lighting) - 2020$</t>
  </si>
  <si>
    <t>Note: TSM (Rows 8-10), O&amp;M Expenses (Row 43), Miscellaneous Revenue Offset (Row 44), and Customer Account/Services (Row 45) costs from the "2019 GRC P2 Marg Dist Cust Costs (Chapter 5</t>
  </si>
  <si>
    <t xml:space="preserve">         Workpaper).xlsx" file.  The Replacement Meters (w/o meter labor costs) (Row 11) from the "2019 GRC P2 Marg Dist Cust Costs (Chapter 5 Workpaper Replacement Meter).xlsx" file. </t>
  </si>
  <si>
    <t xml:space="preserve">          Workpaper).xlsx" file.  The Replacement Meters (w/o meter labor costs) (Row 11) from the "2019 GRC P2 Marg Dist Cust Costs (Chapter 5 Workpaper Replacement Meter).xlsx" file. </t>
  </si>
  <si>
    <t>Note: TSM (Rows 8-10), O&amp;M Expenses (Row 43), Miscellaneous Revenue Offset (Row 44), and Customer Account/Services (Row 45) costs from the "2019 GRC P2 Marg Dist Cust Costs (Chapter 5 Workpaper".xlsx" file.</t>
  </si>
  <si>
    <t xml:space="preserve">         The Replacement Meters (w/o meter labor costs) (Row 11) from the "2019 GRC P2 Marg Dist Cust Costs (Chapter 5 Workpaper Replacement Meter).xlsx" file. </t>
  </si>
  <si>
    <t>Note: TSM (Rows 8-10), O&amp;M Expenses (Row 43), Miscellaneous Revenue Offset (Row 44), and Customer Account/Services (Row 45) costs from the "2019 GRC P2 Marg Dist Cust Costs (Chapter 5 Workpaper).xlsx" file.  The Replacement Meters (w/o meter labor costs) (Row 11)</t>
  </si>
  <si>
    <t xml:space="preserve">         from the "2019 GRC P2 Marg Dist Cust Costs (Chapter 5 Workpaper Replacement Meter).xlsx" file. </t>
  </si>
  <si>
    <t xml:space="preserve">         and Customer Account/Services (Row 44) cost from the "2019 GRC P2 Marg Dist Cust Costs (Chapter 5 Workpaper).xlsx" file.</t>
  </si>
  <si>
    <t>(1) Load Factors from the "2019 GRC P2 Marginal Distribution Customer Costs (Chapter 5 Workpaper).xlsx" file.</t>
  </si>
  <si>
    <t xml:space="preserve">    Meters (Average 370.11 &amp; 370.21) at 107.68%</t>
  </si>
  <si>
    <t xml:space="preserve">    Replacement Meters (Average 370.11 &amp; 370.21) at 107.68%</t>
  </si>
  <si>
    <t>TOU-M</t>
  </si>
  <si>
    <t>TOU-PA</t>
  </si>
  <si>
    <t xml:space="preserve">   (1.50% of 2020 BOY)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</si>
</sst>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(* #,##0.0_);_(* \(#,##0.0\);_(* &quot;-&quot;??_);_(@_)"/>
    <numFmt numFmtId="167" formatCode="_(* #,##0.0000_);_(* \(#,##0.0000\);_(* &quot;-&quot;??_);_(@_)"/>
    <numFmt numFmtId="168" formatCode="_(* #,##0.00000_);_(* \(#,##0.00000\);_(* &quot;-&quot;??_);_(@_)"/>
    <numFmt numFmtId="169" formatCode="_(* #,##0.0_);_(* \(#,##0.0\);_(* &quot;-&quot;?_);_(@_)"/>
    <numFmt numFmtId="170" formatCode="&quot;$&quot;#,##0"/>
    <numFmt numFmtId="171" formatCode="&quot;$&quot;#,##0.00"/>
    <numFmt numFmtId="172" formatCode="#,##0.0000_);\(#,##0.0000\)"/>
    <numFmt numFmtId="173" formatCode="0.0%"/>
    <numFmt numFmtId="174" formatCode="0.000%"/>
    <numFmt numFmtId="175" formatCode="0.00000%"/>
    <numFmt numFmtId="176" formatCode="_(* #,##0.000000_);_(* \(#,##0.000000\);_(* &quot;-&quot;??_);_(@_)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17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8"/>
      <name val="Arial MT"/>
      <family val="2"/>
    </font>
    <font>
      <b/>
      <sz val="10"/>
      <name val="Calibri"/>
      <family val="2"/>
    </font>
    <font>
      <sz val="11"/>
      <color theme="1"/>
      <name val="Calibri"/>
      <family val="2"/>
      <scheme val="minor"/>
    </font>
    <font>
      <b/>
      <sz val="10"/>
      <color rgb="FF0000FF"/>
      <name val="Arial"/>
      <family val="2"/>
    </font>
    <font>
      <b/>
      <u/>
      <sz val="10"/>
      <color rgb="FF0000FF"/>
      <name val="Arial"/>
      <family val="2"/>
    </font>
    <font>
      <b/>
      <u val="singleAccounting"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theme="1"/>
      <name val="Arial"/>
      <family val="2"/>
    </font>
    <font>
      <b/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71">
    <xf numFmtId="0" fontId="0" fillId="0" borderId="0" xfId="0"/>
    <xf numFmtId="0" fontId="1" fillId="0" borderId="0" xfId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7" xfId="1" applyFont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37" fontId="3" fillId="0" borderId="8" xfId="2" applyNumberFormat="1" applyFont="1" applyBorder="1" applyAlignment="1">
      <alignment horizontal="center"/>
    </xf>
    <xf numFmtId="0" fontId="5" fillId="0" borderId="0" xfId="3" applyAlignment="1" applyProtection="1"/>
    <xf numFmtId="164" fontId="0" fillId="0" borderId="0" xfId="2" applyNumberFormat="1" applyFont="1"/>
    <xf numFmtId="164" fontId="1" fillId="0" borderId="0" xfId="1" applyNumberFormat="1"/>
    <xf numFmtId="37" fontId="3" fillId="0" borderId="0" xfId="2" applyNumberFormat="1" applyFont="1" applyBorder="1" applyAlignment="1">
      <alignment horizontal="center"/>
    </xf>
    <xf numFmtId="0" fontId="3" fillId="0" borderId="7" xfId="1" quotePrefix="1" applyFont="1" applyBorder="1" applyAlignment="1">
      <alignment horizontal="left"/>
    </xf>
    <xf numFmtId="0" fontId="3" fillId="0" borderId="7" xfId="1" applyFont="1" applyFill="1" applyBorder="1" applyAlignment="1">
      <alignment horizontal="left"/>
    </xf>
    <xf numFmtId="164" fontId="3" fillId="0" borderId="0" xfId="2" applyNumberFormat="1" applyFont="1" applyBorder="1" applyAlignment="1">
      <alignment horizontal="center"/>
    </xf>
    <xf numFmtId="164" fontId="3" fillId="0" borderId="8" xfId="2" applyNumberFormat="1" applyFont="1" applyBorder="1" applyAlignment="1">
      <alignment horizontal="center"/>
    </xf>
    <xf numFmtId="43" fontId="3" fillId="0" borderId="0" xfId="2" applyFont="1" applyBorder="1" applyAlignment="1">
      <alignment horizontal="center"/>
    </xf>
    <xf numFmtId="43" fontId="3" fillId="0" borderId="8" xfId="2" applyFont="1" applyBorder="1" applyAlignment="1">
      <alignment horizontal="center"/>
    </xf>
    <xf numFmtId="167" fontId="3" fillId="0" borderId="0" xfId="2" applyNumberFormat="1" applyFont="1" applyBorder="1" applyAlignment="1">
      <alignment horizontal="center"/>
    </xf>
    <xf numFmtId="0" fontId="1" fillId="0" borderId="7" xfId="1" applyBorder="1" applyAlignment="1">
      <alignment horizontal="left"/>
    </xf>
    <xf numFmtId="0" fontId="1" fillId="0" borderId="4" xfId="1" applyBorder="1" applyAlignment="1">
      <alignment horizontal="left"/>
    </xf>
    <xf numFmtId="164" fontId="1" fillId="0" borderId="5" xfId="1" applyNumberFormat="1" applyBorder="1"/>
    <xf numFmtId="164" fontId="1" fillId="0" borderId="6" xfId="1" applyNumberFormat="1" applyBorder="1"/>
    <xf numFmtId="0" fontId="1" fillId="0" borderId="0" xfId="1" quotePrefix="1"/>
    <xf numFmtId="16" fontId="3" fillId="0" borderId="7" xfId="1" quotePrefix="1" applyNumberFormat="1" applyFont="1" applyFill="1" applyBorder="1" applyAlignment="1">
      <alignment horizontal="left"/>
    </xf>
    <xf numFmtId="39" fontId="3" fillId="0" borderId="0" xfId="2" applyNumberFormat="1" applyFont="1" applyBorder="1" applyAlignment="1"/>
    <xf numFmtId="39" fontId="3" fillId="0" borderId="8" xfId="2" applyNumberFormat="1" applyFont="1" applyBorder="1" applyAlignment="1"/>
    <xf numFmtId="10" fontId="3" fillId="0" borderId="7" xfId="1" applyNumberFormat="1" applyFont="1" applyBorder="1" applyAlignment="1">
      <alignment horizontal="left" indent="2"/>
    </xf>
    <xf numFmtId="43" fontId="3" fillId="0" borderId="0" xfId="2" applyFont="1" applyBorder="1" applyAlignment="1"/>
    <xf numFmtId="43" fontId="3" fillId="0" borderId="8" xfId="2" applyFont="1" applyBorder="1" applyAlignment="1"/>
    <xf numFmtId="37" fontId="3" fillId="0" borderId="0" xfId="2" applyNumberFormat="1" applyFont="1" applyBorder="1" applyAlignment="1"/>
    <xf numFmtId="37" fontId="3" fillId="0" borderId="8" xfId="2" applyNumberFormat="1" applyFont="1" applyBorder="1" applyAlignment="1"/>
    <xf numFmtId="0" fontId="3" fillId="0" borderId="7" xfId="1" applyFont="1" applyBorder="1" applyAlignment="1">
      <alignment horizontal="left" indent="1"/>
    </xf>
    <xf numFmtId="0" fontId="6" fillId="0" borderId="0" xfId="5"/>
    <xf numFmtId="0" fontId="3" fillId="2" borderId="4" xfId="5" applyFont="1" applyFill="1" applyBorder="1" applyAlignment="1">
      <alignment horizontal="center"/>
    </xf>
    <xf numFmtId="0" fontId="3" fillId="2" borderId="6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center"/>
    </xf>
    <xf numFmtId="0" fontId="3" fillId="0" borderId="3" xfId="5" applyFont="1" applyFill="1" applyBorder="1" applyAlignment="1">
      <alignment horizontal="center"/>
    </xf>
    <xf numFmtId="0" fontId="3" fillId="0" borderId="7" xfId="5" applyFont="1" applyBorder="1" applyAlignment="1">
      <alignment horizontal="left"/>
    </xf>
    <xf numFmtId="0" fontId="3" fillId="0" borderId="0" xfId="5" applyFont="1" applyFill="1" applyBorder="1" applyAlignment="1">
      <alignment horizontal="center"/>
    </xf>
    <xf numFmtId="0" fontId="3" fillId="0" borderId="8" xfId="5" applyFont="1" applyFill="1" applyBorder="1" applyAlignment="1">
      <alignment horizontal="center"/>
    </xf>
    <xf numFmtId="16" fontId="3" fillId="0" borderId="7" xfId="5" quotePrefix="1" applyNumberFormat="1" applyFont="1" applyFill="1" applyBorder="1" applyAlignment="1">
      <alignment horizontal="left"/>
    </xf>
    <xf numFmtId="0" fontId="3" fillId="0" borderId="7" xfId="5" quotePrefix="1" applyFont="1" applyBorder="1" applyAlignment="1">
      <alignment horizontal="left"/>
    </xf>
    <xf numFmtId="10" fontId="3" fillId="0" borderId="7" xfId="5" applyNumberFormat="1" applyFont="1" applyBorder="1" applyAlignment="1">
      <alignment horizontal="left"/>
    </xf>
    <xf numFmtId="43" fontId="6" fillId="0" borderId="0" xfId="5" applyNumberFormat="1"/>
    <xf numFmtId="164" fontId="6" fillId="0" borderId="0" xfId="5" applyNumberFormat="1"/>
    <xf numFmtId="0" fontId="6" fillId="0" borderId="0" xfId="5" quotePrefix="1"/>
    <xf numFmtId="0" fontId="6" fillId="0" borderId="0" xfId="5" applyBorder="1"/>
    <xf numFmtId="0" fontId="1" fillId="0" borderId="0" xfId="5" applyFont="1"/>
    <xf numFmtId="0" fontId="3" fillId="0" borderId="4" xfId="5" applyFont="1" applyBorder="1" applyAlignment="1">
      <alignment horizontal="right"/>
    </xf>
    <xf numFmtId="0" fontId="1" fillId="0" borderId="1" xfId="5" applyFont="1" applyBorder="1"/>
    <xf numFmtId="43" fontId="3" fillId="0" borderId="6" xfId="2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3" fillId="0" borderId="0" xfId="1" quotePrefix="1" applyFont="1" applyBorder="1" applyAlignment="1">
      <alignment horizontal="left"/>
    </xf>
    <xf numFmtId="0" fontId="1" fillId="0" borderId="0" xfId="1" applyBorder="1" applyAlignment="1">
      <alignment horizontal="left"/>
    </xf>
    <xf numFmtId="164" fontId="1" fillId="0" borderId="0" xfId="1" applyNumberFormat="1" applyBorder="1"/>
    <xf numFmtId="0" fontId="3" fillId="0" borderId="4" xfId="1" applyFont="1" applyBorder="1" applyAlignment="1">
      <alignment horizontal="left"/>
    </xf>
    <xf numFmtId="164" fontId="3" fillId="0" borderId="5" xfId="2" applyNumberFormat="1" applyFont="1" applyBorder="1" applyAlignment="1">
      <alignment horizontal="center"/>
    </xf>
    <xf numFmtId="164" fontId="3" fillId="0" borderId="6" xfId="2" applyNumberFormat="1" applyFont="1" applyBorder="1" applyAlignment="1">
      <alignment horizontal="center"/>
    </xf>
    <xf numFmtId="0" fontId="3" fillId="0" borderId="2" xfId="1" applyFont="1" applyFill="1" applyBorder="1" applyAlignment="1">
      <alignment horizontal="left"/>
    </xf>
    <xf numFmtId="37" fontId="4" fillId="0" borderId="0" xfId="1" applyNumberFormat="1" applyFont="1" applyBorder="1" applyAlignment="1">
      <alignment horizontal="center"/>
    </xf>
    <xf numFmtId="9" fontId="3" fillId="0" borderId="0" xfId="6" quotePrefix="1" applyFont="1" applyFill="1" applyBorder="1" applyAlignment="1">
      <alignment horizontal="center"/>
    </xf>
    <xf numFmtId="0" fontId="1" fillId="0" borderId="5" xfId="1" applyBorder="1" applyAlignment="1">
      <alignment horizontal="left"/>
    </xf>
    <xf numFmtId="0" fontId="3" fillId="2" borderId="0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3" fillId="0" borderId="7" xfId="0" applyFont="1" applyFill="1" applyBorder="1" applyAlignment="1">
      <alignment horizontal="left"/>
    </xf>
    <xf numFmtId="37" fontId="4" fillId="0" borderId="0" xfId="1" applyNumberFormat="1" applyFont="1" applyBorder="1" applyAlignment="1">
      <alignment horizontal="right"/>
    </xf>
    <xf numFmtId="37" fontId="1" fillId="0" borderId="0" xfId="1" applyNumberFormat="1"/>
    <xf numFmtId="37" fontId="3" fillId="0" borderId="0" xfId="1" applyNumberFormat="1" applyFont="1" applyBorder="1" applyAlignment="1">
      <alignment horizontal="right"/>
    </xf>
    <xf numFmtId="37" fontId="3" fillId="0" borderId="8" xfId="2" applyNumberFormat="1" applyFont="1" applyBorder="1" applyAlignment="1">
      <alignment horizontal="right"/>
    </xf>
    <xf numFmtId="3" fontId="1" fillId="0" borderId="0" xfId="1" applyNumberFormat="1"/>
    <xf numFmtId="0" fontId="7" fillId="0" borderId="0" xfId="1" applyFont="1"/>
    <xf numFmtId="37" fontId="3" fillId="0" borderId="0" xfId="2" applyNumberFormat="1" applyFont="1" applyBorder="1" applyAlignment="1">
      <alignment horizontal="right"/>
    </xf>
    <xf numFmtId="37" fontId="3" fillId="0" borderId="0" xfId="1" quotePrefix="1" applyNumberFormat="1" applyFont="1" applyBorder="1" applyAlignment="1">
      <alignment horizontal="right"/>
    </xf>
    <xf numFmtId="37" fontId="3" fillId="0" borderId="5" xfId="1" quotePrefix="1" applyNumberFormat="1" applyFont="1" applyBorder="1" applyAlignment="1">
      <alignment horizontal="right"/>
    </xf>
    <xf numFmtId="0" fontId="3" fillId="0" borderId="3" xfId="1" applyFont="1" applyFill="1" applyBorder="1" applyAlignment="1">
      <alignment horizontal="left"/>
    </xf>
    <xf numFmtId="0" fontId="3" fillId="0" borderId="8" xfId="1" applyFont="1" applyBorder="1" applyAlignment="1">
      <alignment horizontal="left"/>
    </xf>
    <xf numFmtId="16" fontId="3" fillId="0" borderId="0" xfId="1" quotePrefix="1" applyNumberFormat="1" applyFont="1" applyFill="1" applyBorder="1" applyAlignment="1">
      <alignment horizontal="left"/>
    </xf>
    <xf numFmtId="16" fontId="3" fillId="0" borderId="8" xfId="1" quotePrefix="1" applyNumberFormat="1" applyFont="1" applyFill="1" applyBorder="1" applyAlignment="1">
      <alignment horizontal="left"/>
    </xf>
    <xf numFmtId="43" fontId="3" fillId="0" borderId="0" xfId="2" applyNumberFormat="1" applyFont="1" applyFill="1" applyBorder="1" applyAlignment="1">
      <alignment horizontal="center"/>
    </xf>
    <xf numFmtId="43" fontId="3" fillId="0" borderId="8" xfId="2" applyNumberFormat="1" applyFont="1" applyFill="1" applyBorder="1" applyAlignment="1">
      <alignment horizontal="center"/>
    </xf>
    <xf numFmtId="0" fontId="3" fillId="0" borderId="8" xfId="1" quotePrefix="1" applyFont="1" applyBorder="1" applyAlignment="1">
      <alignment horizontal="left"/>
    </xf>
    <xf numFmtId="43" fontId="3" fillId="0" borderId="7" xfId="2" applyFont="1" applyBorder="1" applyAlignment="1">
      <alignment horizontal="center"/>
    </xf>
    <xf numFmtId="43" fontId="3" fillId="0" borderId="0" xfId="2" applyFont="1" applyFill="1" applyBorder="1" applyAlignment="1">
      <alignment horizontal="center"/>
    </xf>
    <xf numFmtId="43" fontId="3" fillId="0" borderId="8" xfId="2" applyFont="1" applyFill="1" applyBorder="1" applyAlignment="1">
      <alignment horizontal="center"/>
    </xf>
    <xf numFmtId="43" fontId="3" fillId="0" borderId="0" xfId="2" applyFont="1" applyBorder="1" applyAlignment="1">
      <alignment horizontal="left"/>
    </xf>
    <xf numFmtId="43" fontId="3" fillId="0" borderId="8" xfId="2" applyFont="1" applyBorder="1" applyAlignment="1">
      <alignment horizontal="left"/>
    </xf>
    <xf numFmtId="0" fontId="1" fillId="0" borderId="0" xfId="1" applyBorder="1"/>
    <xf numFmtId="0" fontId="1" fillId="0" borderId="8" xfId="1" applyBorder="1"/>
    <xf numFmtId="43" fontId="3" fillId="0" borderId="0" xfId="1" applyNumberFormat="1" applyFont="1" applyBorder="1" applyAlignment="1">
      <alignment horizontal="left"/>
    </xf>
    <xf numFmtId="43" fontId="3" fillId="0" borderId="8" xfId="1" applyNumberFormat="1" applyFont="1" applyBorder="1" applyAlignment="1">
      <alignment horizontal="left"/>
    </xf>
    <xf numFmtId="37" fontId="3" fillId="0" borderId="0" xfId="1" applyNumberFormat="1" applyFont="1" applyBorder="1"/>
    <xf numFmtId="37" fontId="3" fillId="0" borderId="8" xfId="1" applyNumberFormat="1" applyFont="1" applyBorder="1"/>
    <xf numFmtId="43" fontId="3" fillId="0" borderId="0" xfId="1" applyNumberFormat="1" applyFont="1" applyBorder="1"/>
    <xf numFmtId="43" fontId="3" fillId="0" borderId="8" xfId="1" applyNumberFormat="1" applyFont="1" applyBorder="1"/>
    <xf numFmtId="0" fontId="1" fillId="0" borderId="5" xfId="1" applyBorder="1"/>
    <xf numFmtId="0" fontId="1" fillId="0" borderId="6" xfId="1" applyBorder="1"/>
    <xf numFmtId="0" fontId="3" fillId="2" borderId="13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0" borderId="12" xfId="1" applyFont="1" applyFill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2" xfId="1" quotePrefix="1" applyFont="1" applyBorder="1" applyAlignment="1">
      <alignment horizontal="left"/>
    </xf>
    <xf numFmtId="0" fontId="1" fillId="0" borderId="8" xfId="1" applyBorder="1" applyAlignment="1">
      <alignment horizontal="left"/>
    </xf>
    <xf numFmtId="0" fontId="3" fillId="3" borderId="10" xfId="5" applyFont="1" applyFill="1" applyBorder="1" applyAlignment="1">
      <alignment horizontal="center"/>
    </xf>
    <xf numFmtId="0" fontId="3" fillId="0" borderId="7" xfId="5" applyFont="1" applyFill="1" applyBorder="1" applyAlignment="1">
      <alignment horizontal="center"/>
    </xf>
    <xf numFmtId="0" fontId="3" fillId="0" borderId="1" xfId="5" applyFont="1" applyFill="1" applyBorder="1" applyAlignment="1">
      <alignment horizontal="center"/>
    </xf>
    <xf numFmtId="43" fontId="3" fillId="0" borderId="0" xfId="2" applyNumberFormat="1" applyFont="1" applyBorder="1" applyAlignment="1">
      <alignment horizontal="center"/>
    </xf>
    <xf numFmtId="43" fontId="3" fillId="0" borderId="8" xfId="2" applyNumberFormat="1" applyFont="1" applyBorder="1" applyAlignment="1">
      <alignment horizontal="center"/>
    </xf>
    <xf numFmtId="168" fontId="6" fillId="0" borderId="0" xfId="5" applyNumberFormat="1"/>
    <xf numFmtId="169" fontId="6" fillId="0" borderId="0" xfId="5" applyNumberFormat="1"/>
    <xf numFmtId="43" fontId="1" fillId="0" borderId="0" xfId="2" applyFont="1"/>
    <xf numFmtId="39" fontId="3" fillId="0" borderId="7" xfId="2" applyNumberFormat="1" applyFont="1" applyBorder="1" applyAlignment="1"/>
    <xf numFmtId="39" fontId="1" fillId="0" borderId="0" xfId="1" applyNumberFormat="1"/>
    <xf numFmtId="164" fontId="1" fillId="0" borderId="0" xfId="2" applyNumberFormat="1" applyFont="1"/>
    <xf numFmtId="0" fontId="6" fillId="0" borderId="6" xfId="5" applyBorder="1"/>
    <xf numFmtId="0" fontId="3" fillId="3" borderId="6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37" fontId="4" fillId="0" borderId="0" xfId="2" applyNumberFormat="1" applyFont="1" applyBorder="1" applyAlignment="1">
      <alignment horizontal="right"/>
    </xf>
    <xf numFmtId="37" fontId="3" fillId="0" borderId="8" xfId="1" applyNumberFormat="1" applyFont="1" applyBorder="1" applyAlignment="1">
      <alignment horizontal="right"/>
    </xf>
    <xf numFmtId="0" fontId="1" fillId="0" borderId="8" xfId="1" applyBorder="1" applyAlignment="1">
      <alignment horizontal="right"/>
    </xf>
    <xf numFmtId="164" fontId="3" fillId="0" borderId="7" xfId="2" applyNumberFormat="1" applyFont="1" applyBorder="1" applyAlignment="1">
      <alignment horizontal="right"/>
    </xf>
    <xf numFmtId="164" fontId="3" fillId="0" borderId="0" xfId="2" applyNumberFormat="1" applyFont="1" applyBorder="1" applyAlignment="1">
      <alignment horizontal="right"/>
    </xf>
    <xf numFmtId="166" fontId="3" fillId="0" borderId="8" xfId="2" applyNumberFormat="1" applyFont="1" applyBorder="1" applyAlignment="1">
      <alignment horizontal="right"/>
    </xf>
    <xf numFmtId="164" fontId="3" fillId="0" borderId="8" xfId="2" applyNumberFormat="1" applyFont="1" applyBorder="1" applyAlignment="1">
      <alignment horizontal="right"/>
    </xf>
    <xf numFmtId="0" fontId="1" fillId="0" borderId="0" xfId="1" applyBorder="1" applyAlignment="1">
      <alignment horizontal="right"/>
    </xf>
    <xf numFmtId="43" fontId="3" fillId="0" borderId="7" xfId="2" applyFont="1" applyBorder="1" applyAlignment="1">
      <alignment horizontal="right"/>
    </xf>
    <xf numFmtId="43" fontId="3" fillId="0" borderId="0" xfId="2" applyFont="1" applyBorder="1" applyAlignment="1">
      <alignment horizontal="right"/>
    </xf>
    <xf numFmtId="43" fontId="3" fillId="0" borderId="8" xfId="2" applyFont="1" applyBorder="1" applyAlignment="1">
      <alignment horizontal="right"/>
    </xf>
    <xf numFmtId="37" fontId="1" fillId="0" borderId="0" xfId="1" applyNumberFormat="1" applyBorder="1"/>
    <xf numFmtId="0" fontId="3" fillId="3" borderId="5" xfId="1" applyFont="1" applyFill="1" applyBorder="1" applyAlignment="1">
      <alignment horizontal="center"/>
    </xf>
    <xf numFmtId="43" fontId="1" fillId="0" borderId="0" xfId="2" applyFont="1" applyBorder="1" applyAlignment="1">
      <alignment horizontal="right"/>
    </xf>
    <xf numFmtId="164" fontId="1" fillId="0" borderId="0" xfId="1" applyNumberFormat="1" applyBorder="1" applyAlignment="1">
      <alignment horizontal="right"/>
    </xf>
    <xf numFmtId="0" fontId="3" fillId="0" borderId="13" xfId="1" applyFont="1" applyFill="1" applyBorder="1" applyAlignment="1">
      <alignment horizontal="left"/>
    </xf>
    <xf numFmtId="39" fontId="3" fillId="0" borderId="12" xfId="1" applyNumberFormat="1" applyFont="1" applyBorder="1" applyAlignment="1">
      <alignment horizontal="left"/>
    </xf>
    <xf numFmtId="0" fontId="3" fillId="0" borderId="14" xfId="1" applyFont="1" applyBorder="1" applyAlignment="1">
      <alignment horizontal="left"/>
    </xf>
    <xf numFmtId="43" fontId="1" fillId="0" borderId="8" xfId="2" applyFont="1" applyBorder="1" applyAlignment="1">
      <alignment horizontal="right"/>
    </xf>
    <xf numFmtId="0" fontId="1" fillId="0" borderId="5" xfId="1" applyBorder="1" applyAlignment="1">
      <alignment horizontal="right"/>
    </xf>
    <xf numFmtId="0" fontId="1" fillId="0" borderId="6" xfId="1" applyBorder="1" applyAlignment="1">
      <alignment horizontal="right"/>
    </xf>
    <xf numFmtId="43" fontId="3" fillId="0" borderId="7" xfId="2" applyFont="1" applyFill="1" applyBorder="1" applyAlignment="1">
      <alignment horizontal="right"/>
    </xf>
    <xf numFmtId="43" fontId="3" fillId="0" borderId="0" xfId="2" applyFont="1" applyFill="1" applyBorder="1" applyAlignment="1">
      <alignment horizontal="right"/>
    </xf>
    <xf numFmtId="43" fontId="3" fillId="0" borderId="8" xfId="2" applyFont="1" applyFill="1" applyBorder="1" applyAlignment="1">
      <alignment horizontal="right"/>
    </xf>
    <xf numFmtId="0" fontId="6" fillId="0" borderId="0" xfId="5" applyBorder="1" applyAlignment="1">
      <alignment horizontal="right"/>
    </xf>
    <xf numFmtId="0" fontId="3" fillId="2" borderId="13" xfId="5" applyFont="1" applyFill="1" applyBorder="1" applyAlignment="1">
      <alignment horizontal="center"/>
    </xf>
    <xf numFmtId="0" fontId="3" fillId="2" borderId="14" xfId="5" applyFont="1" applyFill="1" applyBorder="1" applyAlignment="1">
      <alignment horizontal="center"/>
    </xf>
    <xf numFmtId="43" fontId="3" fillId="0" borderId="7" xfId="5" applyNumberFormat="1" applyFont="1" applyBorder="1" applyAlignment="1">
      <alignment horizontal="right"/>
    </xf>
    <xf numFmtId="43" fontId="3" fillId="0" borderId="0" xfId="5" applyNumberFormat="1" applyFont="1" applyBorder="1" applyAlignment="1">
      <alignment horizontal="right"/>
    </xf>
    <xf numFmtId="43" fontId="3" fillId="0" borderId="8" xfId="5" applyNumberFormat="1" applyFont="1" applyBorder="1" applyAlignment="1">
      <alignment horizontal="right"/>
    </xf>
    <xf numFmtId="0" fontId="6" fillId="0" borderId="7" xfId="5" applyBorder="1" applyAlignment="1">
      <alignment horizontal="right"/>
    </xf>
    <xf numFmtId="0" fontId="6" fillId="0" borderId="8" xfId="5" applyBorder="1" applyAlignment="1">
      <alignment horizontal="right"/>
    </xf>
    <xf numFmtId="43" fontId="3" fillId="0" borderId="7" xfId="1" applyNumberFormat="1" applyFont="1" applyBorder="1"/>
    <xf numFmtId="0" fontId="6" fillId="0" borderId="4" xfId="5" applyBorder="1"/>
    <xf numFmtId="0" fontId="6" fillId="0" borderId="5" xfId="5" applyBorder="1"/>
    <xf numFmtId="43" fontId="3" fillId="0" borderId="0" xfId="5" applyNumberFormat="1" applyFont="1" applyBorder="1"/>
    <xf numFmtId="43" fontId="3" fillId="0" borderId="8" xfId="5" applyNumberFormat="1" applyFont="1" applyBorder="1"/>
    <xf numFmtId="0" fontId="6" fillId="0" borderId="8" xfId="5" applyBorder="1"/>
    <xf numFmtId="43" fontId="3" fillId="0" borderId="7" xfId="2" applyFont="1" applyFill="1" applyBorder="1" applyAlignment="1">
      <alignment horizontal="center"/>
    </xf>
    <xf numFmtId="0" fontId="1" fillId="0" borderId="7" xfId="1" applyBorder="1"/>
    <xf numFmtId="43" fontId="3" fillId="0" borderId="7" xfId="1" applyNumberFormat="1" applyFont="1" applyBorder="1" applyAlignment="1">
      <alignment horizontal="left"/>
    </xf>
    <xf numFmtId="37" fontId="3" fillId="0" borderId="7" xfId="1" applyNumberFormat="1" applyFont="1" applyBorder="1"/>
    <xf numFmtId="0" fontId="1" fillId="0" borderId="4" xfId="1" applyBorder="1"/>
    <xf numFmtId="0" fontId="3" fillId="3" borderId="9" xfId="5" applyFont="1" applyFill="1" applyBorder="1" applyAlignment="1">
      <alignment horizontal="center"/>
    </xf>
    <xf numFmtId="43" fontId="3" fillId="0" borderId="7" xfId="2" applyNumberFormat="1" applyFont="1" applyBorder="1" applyAlignment="1">
      <alignment horizontal="center"/>
    </xf>
    <xf numFmtId="43" fontId="3" fillId="0" borderId="7" xfId="5" applyNumberFormat="1" applyFont="1" applyBorder="1"/>
    <xf numFmtId="0" fontId="6" fillId="0" borderId="7" xfId="5" applyBorder="1"/>
    <xf numFmtId="0" fontId="3" fillId="2" borderId="2" xfId="1" applyFont="1" applyFill="1" applyBorder="1" applyAlignment="1">
      <alignment horizontal="center"/>
    </xf>
    <xf numFmtId="0" fontId="1" fillId="0" borderId="0" xfId="0" applyFont="1" applyBorder="1"/>
    <xf numFmtId="0" fontId="3" fillId="0" borderId="1" xfId="1" applyFont="1" applyBorder="1" applyAlignment="1">
      <alignment horizontal="left"/>
    </xf>
    <xf numFmtId="164" fontId="3" fillId="0" borderId="2" xfId="2" applyNumberFormat="1" applyFont="1" applyBorder="1" applyAlignment="1">
      <alignment horizontal="center"/>
    </xf>
    <xf numFmtId="164" fontId="3" fillId="0" borderId="3" xfId="2" applyNumberFormat="1" applyFont="1" applyBorder="1" applyAlignment="1">
      <alignment horizontal="center"/>
    </xf>
    <xf numFmtId="0" fontId="1" fillId="0" borderId="7" xfId="0" applyFont="1" applyBorder="1"/>
    <xf numFmtId="0" fontId="1" fillId="0" borderId="2" xfId="1" applyBorder="1" applyAlignment="1">
      <alignment horizontal="right"/>
    </xf>
    <xf numFmtId="43" fontId="3" fillId="0" borderId="2" xfId="2" applyFont="1" applyBorder="1" applyAlignment="1">
      <alignment horizontal="right"/>
    </xf>
    <xf numFmtId="0" fontId="1" fillId="0" borderId="3" xfId="1" applyBorder="1" applyAlignment="1">
      <alignment horizontal="right"/>
    </xf>
    <xf numFmtId="43" fontId="3" fillId="0" borderId="5" xfId="2" applyFont="1" applyBorder="1" applyAlignment="1">
      <alignment horizontal="right"/>
    </xf>
    <xf numFmtId="0" fontId="1" fillId="0" borderId="2" xfId="1" applyBorder="1"/>
    <xf numFmtId="0" fontId="1" fillId="0" borderId="3" xfId="1" applyBorder="1"/>
    <xf numFmtId="0" fontId="1" fillId="0" borderId="7" xfId="0" applyFont="1" applyFill="1" applyBorder="1"/>
    <xf numFmtId="164" fontId="3" fillId="0" borderId="0" xfId="2" applyNumberFormat="1" applyFont="1" applyFill="1" applyBorder="1" applyAlignment="1">
      <alignment horizontal="center"/>
    </xf>
    <xf numFmtId="164" fontId="3" fillId="0" borderId="8" xfId="2" applyNumberFormat="1" applyFont="1" applyFill="1" applyBorder="1" applyAlignment="1">
      <alignment horizontal="center"/>
    </xf>
    <xf numFmtId="0" fontId="1" fillId="0" borderId="4" xfId="0" applyFont="1" applyFill="1" applyBorder="1"/>
    <xf numFmtId="164" fontId="3" fillId="0" borderId="6" xfId="2" applyNumberFormat="1" applyFont="1" applyFill="1" applyBorder="1" applyAlignment="1">
      <alignment horizontal="center"/>
    </xf>
    <xf numFmtId="0" fontId="6" fillId="0" borderId="1" xfId="5" quotePrefix="1" applyBorder="1"/>
    <xf numFmtId="0" fontId="6" fillId="0" borderId="3" xfId="5" applyBorder="1"/>
    <xf numFmtId="0" fontId="1" fillId="0" borderId="1" xfId="1" applyBorder="1"/>
    <xf numFmtId="0" fontId="6" fillId="0" borderId="2" xfId="5" applyBorder="1"/>
    <xf numFmtId="0" fontId="3" fillId="0" borderId="7" xfId="5" applyFont="1" applyBorder="1" applyAlignment="1">
      <alignment horizontal="right"/>
    </xf>
    <xf numFmtId="0" fontId="1" fillId="0" borderId="7" xfId="5" applyFont="1" applyBorder="1"/>
    <xf numFmtId="0" fontId="8" fillId="0" borderId="7" xfId="5" applyFont="1" applyBorder="1" applyAlignment="1" applyProtection="1">
      <alignment horizontal="centerContinuous"/>
    </xf>
    <xf numFmtId="43" fontId="1" fillId="0" borderId="0" xfId="8" applyFont="1"/>
    <xf numFmtId="0" fontId="3" fillId="2" borderId="5" xfId="0" applyFont="1" applyFill="1" applyBorder="1" applyAlignment="1">
      <alignment horizontal="center"/>
    </xf>
    <xf numFmtId="39" fontId="11" fillId="0" borderId="0" xfId="2" applyNumberFormat="1" applyFont="1" applyBorder="1" applyAlignment="1"/>
    <xf numFmtId="39" fontId="11" fillId="0" borderId="8" xfId="2" applyNumberFormat="1" applyFont="1" applyBorder="1" applyAlignment="1"/>
    <xf numFmtId="39" fontId="12" fillId="0" borderId="0" xfId="2" applyNumberFormat="1" applyFont="1" applyBorder="1" applyAlignment="1"/>
    <xf numFmtId="39" fontId="12" fillId="0" borderId="8" xfId="2" applyNumberFormat="1" applyFont="1" applyBorder="1" applyAlignment="1"/>
    <xf numFmtId="43" fontId="11" fillId="0" borderId="0" xfId="2" applyFont="1" applyBorder="1" applyAlignment="1">
      <alignment horizontal="center"/>
    </xf>
    <xf numFmtId="43" fontId="11" fillId="0" borderId="8" xfId="2" applyFont="1" applyBorder="1" applyAlignment="1">
      <alignment horizontal="center"/>
    </xf>
    <xf numFmtId="43" fontId="11" fillId="0" borderId="0" xfId="2" applyNumberFormat="1" applyFont="1" applyFill="1" applyBorder="1" applyAlignment="1">
      <alignment horizontal="center"/>
    </xf>
    <xf numFmtId="43" fontId="11" fillId="0" borderId="8" xfId="2" applyNumberFormat="1" applyFont="1" applyFill="1" applyBorder="1" applyAlignment="1">
      <alignment horizontal="center"/>
    </xf>
    <xf numFmtId="43" fontId="11" fillId="0" borderId="0" xfId="1" applyNumberFormat="1" applyFont="1" applyBorder="1"/>
    <xf numFmtId="43" fontId="11" fillId="0" borderId="8" xfId="1" applyNumberFormat="1" applyFont="1" applyBorder="1"/>
    <xf numFmtId="43" fontId="13" fillId="0" borderId="0" xfId="1" applyNumberFormat="1" applyFont="1" applyBorder="1"/>
    <xf numFmtId="43" fontId="13" fillId="0" borderId="8" xfId="1" applyNumberFormat="1" applyFont="1" applyBorder="1"/>
    <xf numFmtId="43" fontId="11" fillId="0" borderId="7" xfId="2" applyNumberFormat="1" applyFont="1" applyBorder="1" applyAlignment="1">
      <alignment horizontal="center"/>
    </xf>
    <xf numFmtId="43" fontId="11" fillId="0" borderId="0" xfId="2" applyNumberFormat="1" applyFont="1" applyBorder="1" applyAlignment="1">
      <alignment horizontal="center"/>
    </xf>
    <xf numFmtId="43" fontId="11" fillId="0" borderId="8" xfId="2" applyNumberFormat="1" applyFont="1" applyBorder="1" applyAlignment="1">
      <alignment horizontal="center"/>
    </xf>
    <xf numFmtId="43" fontId="11" fillId="0" borderId="7" xfId="2" applyFont="1" applyBorder="1" applyAlignment="1">
      <alignment horizontal="center"/>
    </xf>
    <xf numFmtId="43" fontId="13" fillId="0" borderId="7" xfId="2" applyFont="1" applyBorder="1" applyAlignment="1">
      <alignment horizontal="center"/>
    </xf>
    <xf numFmtId="43" fontId="13" fillId="0" borderId="0" xfId="2" applyFont="1" applyBorder="1" applyAlignment="1">
      <alignment horizontal="center"/>
    </xf>
    <xf numFmtId="43" fontId="13" fillId="0" borderId="8" xfId="2" applyFont="1" applyBorder="1" applyAlignment="1">
      <alignment horizontal="center"/>
    </xf>
    <xf numFmtId="43" fontId="11" fillId="0" borderId="7" xfId="2" applyNumberFormat="1" applyFont="1" applyBorder="1" applyAlignment="1">
      <alignment horizontal="right"/>
    </xf>
    <xf numFmtId="43" fontId="11" fillId="0" borderId="0" xfId="2" applyNumberFormat="1" applyFont="1" applyBorder="1" applyAlignment="1">
      <alignment horizontal="right"/>
    </xf>
    <xf numFmtId="43" fontId="11" fillId="0" borderId="8" xfId="2" applyNumberFormat="1" applyFont="1" applyBorder="1" applyAlignment="1">
      <alignment horizontal="right"/>
    </xf>
    <xf numFmtId="43" fontId="11" fillId="0" borderId="7" xfId="2" applyFont="1" applyBorder="1" applyAlignment="1">
      <alignment horizontal="right"/>
    </xf>
    <xf numFmtId="43" fontId="11" fillId="0" borderId="0" xfId="2" applyFont="1" applyBorder="1" applyAlignment="1">
      <alignment horizontal="right"/>
    </xf>
    <xf numFmtId="43" fontId="11" fillId="0" borderId="8" xfId="2" applyFont="1" applyBorder="1" applyAlignment="1">
      <alignment horizontal="right"/>
    </xf>
    <xf numFmtId="43" fontId="13" fillId="0" borderId="7" xfId="2" applyFont="1" applyBorder="1" applyAlignment="1">
      <alignment horizontal="right"/>
    </xf>
    <xf numFmtId="43" fontId="13" fillId="0" borderId="0" xfId="2" applyFont="1" applyBorder="1" applyAlignment="1">
      <alignment horizontal="right"/>
    </xf>
    <xf numFmtId="43" fontId="13" fillId="0" borderId="8" xfId="2" applyFont="1" applyBorder="1" applyAlignment="1">
      <alignment horizontal="right"/>
    </xf>
    <xf numFmtId="43" fontId="11" fillId="0" borderId="8" xfId="2" applyFont="1" applyFill="1" applyBorder="1" applyAlignment="1">
      <alignment horizontal="center"/>
    </xf>
    <xf numFmtId="164" fontId="3" fillId="0" borderId="5" xfId="2" applyNumberFormat="1" applyFont="1" applyFill="1" applyBorder="1" applyAlignment="1">
      <alignment horizontal="center"/>
    </xf>
    <xf numFmtId="37" fontId="11" fillId="0" borderId="0" xfId="2" applyNumberFormat="1" applyFont="1" applyBorder="1" applyAlignment="1">
      <alignment horizontal="center"/>
    </xf>
    <xf numFmtId="37" fontId="11" fillId="0" borderId="0" xfId="1" applyNumberFormat="1" applyFont="1" applyBorder="1" applyAlignment="1">
      <alignment horizontal="right"/>
    </xf>
    <xf numFmtId="37" fontId="11" fillId="0" borderId="0" xfId="1" applyNumberFormat="1" applyFont="1" applyBorder="1" applyAlignment="1">
      <alignment horizontal="center"/>
    </xf>
    <xf numFmtId="0" fontId="1" fillId="0" borderId="3" xfId="5" applyFont="1" applyBorder="1" applyAlignment="1">
      <alignment horizontal="centerContinuous"/>
    </xf>
    <xf numFmtId="0" fontId="1" fillId="0" borderId="8" xfId="5" applyFont="1" applyBorder="1" applyAlignment="1">
      <alignment horizontal="centerContinuous"/>
    </xf>
    <xf numFmtId="10" fontId="11" fillId="0" borderId="8" xfId="6" applyNumberFormat="1" applyFont="1" applyBorder="1" applyAlignment="1">
      <alignment horizontal="right"/>
    </xf>
    <xf numFmtId="10" fontId="11" fillId="0" borderId="6" xfId="6" applyNumberFormat="1" applyFont="1" applyBorder="1" applyAlignment="1">
      <alignment horizontal="right"/>
    </xf>
    <xf numFmtId="0" fontId="1" fillId="0" borderId="8" xfId="5" applyFont="1" applyBorder="1"/>
    <xf numFmtId="10" fontId="11" fillId="0" borderId="8" xfId="6" applyNumberFormat="1" applyFont="1" applyBorder="1"/>
    <xf numFmtId="0" fontId="1" fillId="0" borderId="3" xfId="5" applyFont="1" applyBorder="1"/>
    <xf numFmtId="0" fontId="8" fillId="0" borderId="1" xfId="5" applyFont="1" applyBorder="1" applyAlignment="1" applyProtection="1">
      <alignment horizontal="centerContinuous"/>
    </xf>
    <xf numFmtId="0" fontId="3" fillId="0" borderId="7" xfId="5" applyFont="1" applyFill="1" applyBorder="1" applyAlignment="1">
      <alignment horizontal="right"/>
    </xf>
    <xf numFmtId="0" fontId="3" fillId="0" borderId="4" xfId="5" applyFont="1" applyFill="1" applyBorder="1" applyAlignment="1">
      <alignment horizontal="right"/>
    </xf>
    <xf numFmtId="37" fontId="11" fillId="0" borderId="8" xfId="2" applyNumberFormat="1" applyFont="1" applyBorder="1" applyAlignment="1">
      <alignment horizontal="center"/>
    </xf>
    <xf numFmtId="37" fontId="11" fillId="0" borderId="0" xfId="2" applyNumberFormat="1" applyFont="1" applyBorder="1" applyAlignment="1">
      <alignment horizontal="right"/>
    </xf>
    <xf numFmtId="37" fontId="11" fillId="0" borderId="0" xfId="2" applyNumberFormat="1" applyFont="1" applyFill="1" applyBorder="1" applyAlignment="1">
      <alignment horizontal="right"/>
    </xf>
    <xf numFmtId="37" fontId="11" fillId="0" borderId="8" xfId="2" applyNumberFormat="1" applyFont="1" applyFill="1" applyBorder="1" applyAlignment="1">
      <alignment horizontal="right"/>
    </xf>
    <xf numFmtId="37" fontId="11" fillId="0" borderId="8" xfId="2" applyNumberFormat="1" applyFont="1" applyFill="1" applyBorder="1" applyAlignment="1">
      <alignment horizontal="center"/>
    </xf>
    <xf numFmtId="0" fontId="14" fillId="0" borderId="0" xfId="1" applyFont="1" applyBorder="1"/>
    <xf numFmtId="0" fontId="14" fillId="0" borderId="8" xfId="1" applyFont="1" applyBorder="1"/>
    <xf numFmtId="37" fontId="11" fillId="0" borderId="8" xfId="2" applyNumberFormat="1" applyFont="1" applyBorder="1" applyAlignment="1">
      <alignment horizontal="right"/>
    </xf>
    <xf numFmtId="166" fontId="3" fillId="0" borderId="0" xfId="2" applyNumberFormat="1" applyFont="1" applyBorder="1" applyAlignment="1">
      <alignment horizontal="right"/>
    </xf>
    <xf numFmtId="0" fontId="3" fillId="0" borderId="1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37" fontId="11" fillId="0" borderId="7" xfId="2" applyNumberFormat="1" applyFont="1" applyFill="1" applyBorder="1" applyAlignment="1">
      <alignment horizontal="right"/>
    </xf>
    <xf numFmtId="0" fontId="14" fillId="0" borderId="7" xfId="1" applyFont="1" applyBorder="1"/>
    <xf numFmtId="37" fontId="11" fillId="0" borderId="7" xfId="2" applyNumberFormat="1" applyFont="1" applyBorder="1" applyAlignment="1">
      <alignment horizontal="right"/>
    </xf>
    <xf numFmtId="37" fontId="3" fillId="0" borderId="7" xfId="2" applyNumberFormat="1" applyFont="1" applyBorder="1" applyAlignment="1">
      <alignment horizontal="right"/>
    </xf>
    <xf numFmtId="37" fontId="11" fillId="0" borderId="8" xfId="2" applyNumberFormat="1" applyFont="1" applyBorder="1" applyAlignment="1"/>
    <xf numFmtId="0" fontId="3" fillId="0" borderId="0" xfId="1" applyFont="1" applyFill="1" applyBorder="1" applyAlignment="1">
      <alignment horizontal="left"/>
    </xf>
    <xf numFmtId="0" fontId="3" fillId="2" borderId="1" xfId="1" applyFont="1" applyFill="1" applyBorder="1" applyAlignment="1"/>
    <xf numFmtId="0" fontId="3" fillId="2" borderId="13" xfId="1" applyFont="1" applyFill="1" applyBorder="1" applyAlignment="1"/>
    <xf numFmtId="37" fontId="15" fillId="0" borderId="0" xfId="1" applyNumberFormat="1" applyFont="1" applyBorder="1" applyAlignment="1">
      <alignment horizontal="right"/>
    </xf>
    <xf numFmtId="43" fontId="7" fillId="0" borderId="0" xfId="8" applyFont="1"/>
    <xf numFmtId="0" fontId="3" fillId="2" borderId="1" xfId="1" applyFont="1" applyFill="1" applyBorder="1" applyAlignment="1">
      <alignment horizontal="center"/>
    </xf>
    <xf numFmtId="165" fontId="11" fillId="0" borderId="0" xfId="2" applyNumberFormat="1" applyFont="1" applyBorder="1" applyAlignment="1">
      <alignment horizontal="right"/>
    </xf>
    <xf numFmtId="37" fontId="3" fillId="0" borderId="0" xfId="1" quotePrefix="1" applyNumberFormat="1" applyFont="1" applyBorder="1" applyAlignment="1">
      <alignment horizontal="left"/>
    </xf>
    <xf numFmtId="0" fontId="3" fillId="3" borderId="4" xfId="1" applyFont="1" applyFill="1" applyBorder="1" applyAlignment="1">
      <alignment horizontal="center"/>
    </xf>
    <xf numFmtId="37" fontId="3" fillId="0" borderId="7" xfId="2" applyNumberFormat="1" applyFont="1" applyFill="1" applyBorder="1" applyAlignment="1">
      <alignment horizontal="right"/>
    </xf>
    <xf numFmtId="0" fontId="3" fillId="2" borderId="1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10" fontId="11" fillId="0" borderId="8" xfId="7" applyNumberFormat="1" applyFont="1" applyBorder="1"/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1" fillId="0" borderId="7" xfId="5" applyFont="1" applyFill="1" applyBorder="1"/>
    <xf numFmtId="0" fontId="6" fillId="0" borderId="8" xfId="5" applyFill="1" applyBorder="1"/>
    <xf numFmtId="0" fontId="3" fillId="0" borderId="4" xfId="5" applyFont="1" applyBorder="1"/>
    <xf numFmtId="0" fontId="1" fillId="0" borderId="1" xfId="5" applyFont="1" applyFill="1" applyBorder="1"/>
    <xf numFmtId="0" fontId="1" fillId="0" borderId="3" xfId="5" applyFont="1" applyFill="1" applyBorder="1"/>
    <xf numFmtId="0" fontId="3" fillId="0" borderId="7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71" fontId="16" fillId="0" borderId="6" xfId="6" applyNumberFormat="1" applyFont="1" applyFill="1" applyBorder="1" applyAlignment="1">
      <alignment horizontal="right"/>
    </xf>
    <xf numFmtId="37" fontId="6" fillId="0" borderId="0" xfId="5" applyNumberFormat="1"/>
    <xf numFmtId="171" fontId="6" fillId="0" borderId="0" xfId="5" applyNumberFormat="1"/>
    <xf numFmtId="3" fontId="12" fillId="0" borderId="8" xfId="6" applyNumberFormat="1" applyFont="1" applyFill="1" applyBorder="1" applyAlignment="1">
      <alignment horizontal="right"/>
    </xf>
    <xf numFmtId="170" fontId="11" fillId="0" borderId="8" xfId="6" applyNumberFormat="1" applyFont="1" applyFill="1" applyBorder="1" applyAlignment="1">
      <alignment horizontal="right"/>
    </xf>
    <xf numFmtId="43" fontId="3" fillId="0" borderId="0" xfId="1" quotePrefix="1" applyNumberFormat="1" applyFont="1" applyBorder="1" applyAlignment="1">
      <alignment horizontal="left"/>
    </xf>
    <xf numFmtId="43" fontId="11" fillId="0" borderId="7" xfId="2" applyNumberFormat="1" applyFont="1" applyFill="1" applyBorder="1" applyAlignment="1">
      <alignment horizontal="center"/>
    </xf>
    <xf numFmtId="43" fontId="3" fillId="0" borderId="7" xfId="1" quotePrefix="1" applyNumberFormat="1" applyFont="1" applyBorder="1" applyAlignment="1">
      <alignment horizontal="left"/>
    </xf>
    <xf numFmtId="43" fontId="3" fillId="0" borderId="8" xfId="1" quotePrefix="1" applyNumberFormat="1" applyFont="1" applyBorder="1" applyAlignment="1">
      <alignment horizontal="left"/>
    </xf>
    <xf numFmtId="43" fontId="3" fillId="0" borderId="7" xfId="2" applyNumberFormat="1" applyFont="1" applyFill="1" applyBorder="1" applyAlignment="1">
      <alignment horizontal="center"/>
    </xf>
    <xf numFmtId="43" fontId="11" fillId="0" borderId="7" xfId="1" applyNumberFormat="1" applyFont="1" applyBorder="1"/>
    <xf numFmtId="43" fontId="13" fillId="0" borderId="7" xfId="1" applyNumberFormat="1" applyFont="1" applyBorder="1"/>
    <xf numFmtId="0" fontId="3" fillId="2" borderId="7" xfId="1" applyFont="1" applyFill="1" applyBorder="1" applyAlignment="1">
      <alignment horizontal="center"/>
    </xf>
    <xf numFmtId="43" fontId="3" fillId="0" borderId="7" xfId="2" applyFont="1" applyBorder="1" applyAlignment="1">
      <alignment horizontal="left"/>
    </xf>
    <xf numFmtId="164" fontId="1" fillId="0" borderId="0" xfId="8" applyNumberFormat="1" applyFont="1"/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1" fillId="0" borderId="4" xfId="1" quotePrefix="1" applyBorder="1"/>
    <xf numFmtId="0" fontId="1" fillId="0" borderId="5" xfId="1" quotePrefix="1" applyBorder="1"/>
    <xf numFmtId="0" fontId="1" fillId="0" borderId="6" xfId="1" quotePrefix="1" applyBorder="1"/>
    <xf numFmtId="0" fontId="1" fillId="0" borderId="0" xfId="0" applyFont="1" applyFill="1"/>
    <xf numFmtId="0" fontId="1" fillId="0" borderId="0" xfId="0" applyFont="1" applyFill="1" applyBorder="1"/>
    <xf numFmtId="37" fontId="11" fillId="0" borderId="0" xfId="2" applyNumberFormat="1" applyFont="1" applyFill="1" applyBorder="1" applyAlignment="1">
      <alignment horizontal="center"/>
    </xf>
    <xf numFmtId="165" fontId="3" fillId="0" borderId="0" xfId="1" applyNumberFormat="1" applyFont="1" applyBorder="1" applyAlignment="1">
      <alignment horizontal="right"/>
    </xf>
    <xf numFmtId="172" fontId="11" fillId="0" borderId="7" xfId="2" applyNumberFormat="1" applyFont="1" applyFill="1" applyBorder="1" applyAlignment="1">
      <alignment horizontal="right"/>
    </xf>
    <xf numFmtId="43" fontId="1" fillId="0" borderId="0" xfId="1" applyNumberFormat="1"/>
    <xf numFmtId="3" fontId="14" fillId="0" borderId="8" xfId="1" applyNumberFormat="1" applyFont="1" applyBorder="1"/>
    <xf numFmtId="43" fontId="11" fillId="0" borderId="0" xfId="2" applyFont="1" applyFill="1" applyBorder="1" applyAlignment="1">
      <alignment horizontal="center"/>
    </xf>
    <xf numFmtId="10" fontId="3" fillId="0" borderId="7" xfId="1" applyNumberFormat="1" applyFont="1" applyBorder="1" applyAlignment="1">
      <alignment horizontal="left"/>
    </xf>
    <xf numFmtId="0" fontId="1" fillId="0" borderId="7" xfId="1" quotePrefix="1" applyBorder="1"/>
    <xf numFmtId="43" fontId="11" fillId="0" borderId="7" xfId="2" applyNumberFormat="1" applyFont="1" applyFill="1" applyBorder="1" applyAlignment="1">
      <alignment horizontal="right"/>
    </xf>
    <xf numFmtId="43" fontId="11" fillId="0" borderId="0" xfId="2" applyNumberFormat="1" applyFont="1" applyFill="1" applyBorder="1" applyAlignment="1">
      <alignment horizontal="right"/>
    </xf>
    <xf numFmtId="43" fontId="11" fillId="0" borderId="8" xfId="2" applyNumberFormat="1" applyFont="1" applyFill="1" applyBorder="1" applyAlignment="1">
      <alignment horizontal="right"/>
    </xf>
    <xf numFmtId="10" fontId="11" fillId="0" borderId="6" xfId="7" applyNumberFormat="1" applyFont="1" applyFill="1" applyBorder="1"/>
    <xf numFmtId="0" fontId="3" fillId="2" borderId="1" xfId="5" applyFont="1" applyFill="1" applyBorder="1" applyAlignment="1">
      <alignment horizontal="center"/>
    </xf>
    <xf numFmtId="0" fontId="3" fillId="2" borderId="2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39" fontId="3" fillId="0" borderId="0" xfId="2" applyNumberFormat="1" applyFont="1" applyBorder="1" applyAlignment="1">
      <alignment horizontal="center"/>
    </xf>
    <xf numFmtId="39" fontId="11" fillId="0" borderId="0" xfId="2" applyNumberFormat="1" applyFont="1" applyFill="1" applyBorder="1" applyAlignment="1">
      <alignment horizontal="center"/>
    </xf>
    <xf numFmtId="39" fontId="11" fillId="0" borderId="0" xfId="2" applyNumberFormat="1" applyFont="1" applyBorder="1" applyAlignment="1">
      <alignment horizontal="center"/>
    </xf>
    <xf numFmtId="165" fontId="3" fillId="0" borderId="0" xfId="2" applyNumberFormat="1" applyFont="1" applyBorder="1" applyAlignment="1">
      <alignment horizontal="right"/>
    </xf>
    <xf numFmtId="165" fontId="3" fillId="0" borderId="0" xfId="2" applyNumberFormat="1" applyFont="1" applyBorder="1" applyAlignment="1"/>
    <xf numFmtId="165" fontId="3" fillId="0" borderId="0" xfId="1" quotePrefix="1" applyNumberFormat="1" applyFont="1" applyBorder="1" applyAlignment="1">
      <alignment horizontal="right"/>
    </xf>
    <xf numFmtId="165" fontId="3" fillId="0" borderId="0" xfId="1" applyNumberFormat="1" applyFont="1" applyBorder="1"/>
    <xf numFmtId="37" fontId="3" fillId="0" borderId="6" xfId="2" applyNumberFormat="1" applyFont="1" applyBorder="1" applyAlignment="1">
      <alignment horizontal="center"/>
    </xf>
    <xf numFmtId="43" fontId="3" fillId="0" borderId="7" xfId="2" applyNumberFormat="1" applyFont="1" applyBorder="1" applyAlignment="1">
      <alignment horizontal="right"/>
    </xf>
    <xf numFmtId="43" fontId="3" fillId="0" borderId="0" xfId="2" applyNumberFormat="1" applyFont="1" applyBorder="1" applyAlignment="1">
      <alignment horizontal="right"/>
    </xf>
    <xf numFmtId="43" fontId="3" fillId="0" borderId="8" xfId="2" applyNumberFormat="1" applyFont="1" applyBorder="1" applyAlignment="1">
      <alignment horizontal="right"/>
    </xf>
    <xf numFmtId="9" fontId="3" fillId="0" borderId="7" xfId="7" applyFont="1" applyBorder="1" applyAlignment="1">
      <alignment horizontal="right"/>
    </xf>
    <xf numFmtId="10" fontId="3" fillId="0" borderId="7" xfId="7" applyNumberFormat="1" applyFont="1" applyFill="1" applyBorder="1" applyAlignment="1">
      <alignment horizontal="right"/>
    </xf>
    <xf numFmtId="174" fontId="3" fillId="0" borderId="0" xfId="7" applyNumberFormat="1" applyFont="1" applyBorder="1" applyAlignment="1">
      <alignment horizontal="center"/>
    </xf>
    <xf numFmtId="174" fontId="1" fillId="0" borderId="0" xfId="7" applyNumberFormat="1" applyFont="1"/>
    <xf numFmtId="175" fontId="1" fillId="0" borderId="0" xfId="7" applyNumberFormat="1" applyFont="1"/>
    <xf numFmtId="173" fontId="3" fillId="0" borderId="0" xfId="7" applyNumberFormat="1" applyFont="1" applyBorder="1" applyAlignment="1">
      <alignment horizontal="right"/>
    </xf>
    <xf numFmtId="168" fontId="1" fillId="0" borderId="0" xfId="8" applyNumberFormat="1" applyFont="1"/>
    <xf numFmtId="43" fontId="1" fillId="0" borderId="0" xfId="8" applyFont="1" applyBorder="1"/>
    <xf numFmtId="176" fontId="3" fillId="0" borderId="0" xfId="8" applyNumberFormat="1" applyFont="1" applyBorder="1" applyAlignment="1">
      <alignment horizontal="center"/>
    </xf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2" fillId="0" borderId="0" xfId="5" applyFont="1" applyBorder="1" applyAlignment="1">
      <alignment horizontal="center"/>
    </xf>
    <xf numFmtId="0" fontId="3" fillId="2" borderId="9" xfId="5" applyFont="1" applyFill="1" applyBorder="1" applyAlignment="1">
      <alignment horizontal="center"/>
    </xf>
    <xf numFmtId="0" fontId="3" fillId="2" borderId="10" xfId="5" applyFont="1" applyFill="1" applyBorder="1" applyAlignment="1">
      <alignment horizontal="center"/>
    </xf>
    <xf numFmtId="0" fontId="3" fillId="2" borderId="11" xfId="5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5" xfId="1" applyFont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11" xfId="1" applyFont="1" applyFill="1" applyBorder="1" applyAlignment="1">
      <alignment horizontal="center"/>
    </xf>
    <xf numFmtId="0" fontId="3" fillId="2" borderId="1" xfId="5" applyFont="1" applyFill="1" applyBorder="1" applyAlignment="1">
      <alignment horizontal="center"/>
    </xf>
    <xf numFmtId="0" fontId="3" fillId="2" borderId="2" xfId="5" applyFont="1" applyFill="1" applyBorder="1" applyAlignment="1">
      <alignment horizontal="center"/>
    </xf>
    <xf numFmtId="0" fontId="3" fillId="2" borderId="3" xfId="5" applyFont="1" applyFill="1" applyBorder="1" applyAlignment="1">
      <alignment horizontal="center"/>
    </xf>
    <xf numFmtId="0" fontId="2" fillId="0" borderId="0" xfId="5" applyFont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3" fillId="3" borderId="10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0" fontId="3" fillId="0" borderId="7" xfId="5" applyFont="1" applyBorder="1" applyAlignment="1">
      <alignment horizontal="center"/>
    </xf>
    <xf numFmtId="0" fontId="3" fillId="0" borderId="8" xfId="5" applyFont="1" applyBorder="1" applyAlignment="1">
      <alignment horizontal="center"/>
    </xf>
  </cellXfs>
  <cellStyles count="9">
    <cellStyle name="Comma" xfId="8" builtinId="3"/>
    <cellStyle name="Comma 2" xfId="2" xr:uid="{00000000-0005-0000-0000-000001000000}"/>
    <cellStyle name="Currency 2" xfId="4" xr:uid="{00000000-0005-0000-0000-000002000000}"/>
    <cellStyle name="Hyperlink" xfId="3" builtinId="8"/>
    <cellStyle name="Normal" xfId="0" builtinId="0"/>
    <cellStyle name="Normal 2" xfId="1" xr:uid="{00000000-0005-0000-0000-000005000000}"/>
    <cellStyle name="Normal 3" xfId="5" xr:uid="{00000000-0005-0000-0000-000006000000}"/>
    <cellStyle name="Percent" xfId="7" builtinId="5"/>
    <cellStyle name="Percent 2" xfId="6" xr:uid="{00000000-0005-0000-0000-000008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F32D5-5614-4EC7-80B1-902D74B870C0}">
  <sheetPr>
    <pageSetUpPr fitToPage="1"/>
  </sheetPr>
  <dimension ref="A1:L67"/>
  <sheetViews>
    <sheetView tabSelected="1" topLeftCell="A23" zoomScaleNormal="100" workbookViewId="0">
      <selection activeCell="B43" sqref="B43"/>
    </sheetView>
  </sheetViews>
  <sheetFormatPr defaultColWidth="9.140625" defaultRowHeight="12.75"/>
  <cols>
    <col min="1" max="1" width="70.7109375" style="40" customWidth="1"/>
    <col min="2" max="2" width="12.7109375" style="40" customWidth="1"/>
    <col min="3" max="6" width="12.7109375" style="55" customWidth="1"/>
    <col min="7" max="7" width="12.85546875" style="55" customWidth="1"/>
    <col min="8" max="8" width="12.7109375" style="40" customWidth="1"/>
    <col min="9" max="9" width="12.42578125" style="40" customWidth="1"/>
    <col min="10" max="10" width="12.85546875" style="40" customWidth="1"/>
    <col min="11" max="16384" width="9.140625" style="40"/>
  </cols>
  <sheetData>
    <row r="1" spans="1:12" ht="18.75" thickBot="1">
      <c r="A1" s="346" t="s">
        <v>126</v>
      </c>
      <c r="B1" s="346"/>
      <c r="C1" s="346"/>
      <c r="D1" s="346"/>
      <c r="E1" s="346"/>
      <c r="F1" s="346"/>
      <c r="G1" s="346"/>
      <c r="H1" s="347"/>
      <c r="I1" s="347"/>
      <c r="J1" s="347"/>
    </row>
    <row r="2" spans="1:12" ht="13.5" thickBot="1">
      <c r="A2" s="152"/>
      <c r="B2" s="348" t="s">
        <v>35</v>
      </c>
      <c r="C2" s="349"/>
      <c r="D2" s="350"/>
      <c r="E2" s="348" t="s">
        <v>40</v>
      </c>
      <c r="F2" s="349"/>
      <c r="G2" s="350"/>
      <c r="H2" s="348" t="s">
        <v>124</v>
      </c>
      <c r="I2" s="349"/>
      <c r="J2" s="350"/>
    </row>
    <row r="3" spans="1:12" ht="13.5" thickBot="1">
      <c r="A3" s="153" t="s">
        <v>0</v>
      </c>
      <c r="B3" s="317" t="s">
        <v>52</v>
      </c>
      <c r="C3" s="318" t="s">
        <v>53</v>
      </c>
      <c r="D3" s="319" t="s">
        <v>46</v>
      </c>
      <c r="E3" s="320" t="s">
        <v>52</v>
      </c>
      <c r="F3" s="321" t="s">
        <v>53</v>
      </c>
      <c r="G3" s="322" t="s">
        <v>47</v>
      </c>
      <c r="H3" s="343" t="s">
        <v>52</v>
      </c>
      <c r="I3" s="344" t="s">
        <v>53</v>
      </c>
      <c r="J3" s="345" t="s">
        <v>36</v>
      </c>
    </row>
    <row r="4" spans="1:12">
      <c r="A4" s="43"/>
      <c r="B4" s="113"/>
      <c r="C4" s="44"/>
      <c r="D4" s="45"/>
      <c r="E4" s="113"/>
      <c r="F4" s="44"/>
      <c r="G4" s="45"/>
      <c r="H4" s="113"/>
      <c r="I4" s="44"/>
      <c r="J4" s="45"/>
    </row>
    <row r="5" spans="1:12">
      <c r="A5" s="46"/>
      <c r="B5" s="112"/>
      <c r="C5" s="47"/>
      <c r="D5" s="48"/>
      <c r="E5" s="112"/>
      <c r="F5" s="47"/>
      <c r="G5" s="48"/>
      <c r="H5" s="112"/>
      <c r="I5" s="47"/>
      <c r="J5" s="48"/>
    </row>
    <row r="6" spans="1:12">
      <c r="A6" s="46" t="s">
        <v>13</v>
      </c>
      <c r="B6" s="90"/>
      <c r="C6" s="23"/>
      <c r="D6" s="24"/>
      <c r="E6" s="90"/>
      <c r="F6" s="23"/>
      <c r="G6" s="24"/>
      <c r="H6" s="90"/>
      <c r="I6" s="23"/>
      <c r="J6" s="24"/>
    </row>
    <row r="7" spans="1:12">
      <c r="A7" s="49"/>
      <c r="B7" s="90"/>
      <c r="C7" s="23"/>
      <c r="D7" s="24"/>
      <c r="E7" s="90"/>
      <c r="F7" s="23"/>
      <c r="G7" s="24"/>
      <c r="H7" s="90"/>
      <c r="I7" s="23"/>
      <c r="J7" s="24"/>
    </row>
    <row r="8" spans="1:12">
      <c r="A8" s="46" t="s">
        <v>14</v>
      </c>
      <c r="B8" s="219">
        <v>3117.8539777116753</v>
      </c>
      <c r="C8" s="220">
        <v>13606.123181662033</v>
      </c>
      <c r="D8" s="221">
        <v>9247.7993698727696</v>
      </c>
      <c r="E8" s="219"/>
      <c r="F8" s="220">
        <v>0</v>
      </c>
      <c r="G8" s="221">
        <v>0</v>
      </c>
      <c r="H8" s="219">
        <v>3117.8539777116753</v>
      </c>
      <c r="I8" s="220">
        <v>12777.680180921001</v>
      </c>
      <c r="J8" s="221">
        <v>8910.1631305024166</v>
      </c>
    </row>
    <row r="9" spans="1:12">
      <c r="A9" s="46" t="s">
        <v>15</v>
      </c>
      <c r="B9" s="219">
        <v>537.37859769304339</v>
      </c>
      <c r="C9" s="220">
        <v>2742.8329690831247</v>
      </c>
      <c r="D9" s="221">
        <v>1826.372482063611</v>
      </c>
      <c r="E9" s="219"/>
      <c r="F9" s="220">
        <v>3396.422044371343</v>
      </c>
      <c r="G9" s="221">
        <v>3396.422044371343</v>
      </c>
      <c r="H9" s="219">
        <v>537.37859769304339</v>
      </c>
      <c r="I9" s="220">
        <v>2782.6283823359677</v>
      </c>
      <c r="J9" s="221">
        <v>1883.6948361330146</v>
      </c>
    </row>
    <row r="10" spans="1:12">
      <c r="A10" s="46" t="s">
        <v>16</v>
      </c>
      <c r="B10" s="219">
        <v>300.903954567151</v>
      </c>
      <c r="C10" s="220">
        <v>723.5172830587037</v>
      </c>
      <c r="D10" s="221">
        <v>547.90339511134687</v>
      </c>
      <c r="E10" s="219"/>
      <c r="F10" s="220">
        <v>1044.5898264269988</v>
      </c>
      <c r="G10" s="221">
        <v>1044.5898264269988</v>
      </c>
      <c r="H10" s="219">
        <v>300.903954567151</v>
      </c>
      <c r="I10" s="220">
        <v>743.06659168484339</v>
      </c>
      <c r="J10" s="221">
        <v>566.03736754180693</v>
      </c>
    </row>
    <row r="11" spans="1:12">
      <c r="A11" s="11" t="s">
        <v>83</v>
      </c>
      <c r="B11" s="313">
        <f>('NCO - Res'!B11*'NCO Res Cust Fcst'!K6+'NCO - Small Commercial'!F11*'NCO Sml Comm Cust Fcst'!H5+'NCO - Agricultural Class'!B11*'NCO Agricultural'!H6)/('NCO Res Cust Fcst'!K6+'NCO Sml Comm Cust Fcst'!H5+'NCO Agricultural'!H6)</f>
        <v>296.32808081942943</v>
      </c>
      <c r="C11" s="314">
        <f>('NCO - Medium-Large C&amp;I '!E11*'NCO Medium-Large C&amp;I Cust Fcst'!M5+'NCO - Agricultural Class'!C11*'NCO Agricultural'!H7)/('NCO Medium-Large C&amp;I Cust Fcst'!M5+'NCO Agricultural'!H7)</f>
        <v>714.37164482552419</v>
      </c>
      <c r="D11" s="315">
        <f>(B11*('NCO Res Cust Fcst'!K6+'NCO Sml Comm Cust Fcst'!H5+'NCO Agricultural'!H6)+'NCO - School (Non-Lighting)'!C11*('NCO Medium-Large C&amp;I Cust Fcst'!M5+'NCO Agricultural'!H7))/('NCO Res Cust Fcst'!K6+'NCO Sml Comm Cust Fcst'!H5+'NCO Medium-Large C&amp;I Cust Fcst'!M5+'NCO Agricultural'!H5)</f>
        <v>545.19018160353482</v>
      </c>
      <c r="E11" s="313"/>
      <c r="F11" s="314">
        <f>('NCO - Medium-Large C&amp;I '!G11*'NCO Medium-Large C&amp;I Cust Fcst'!N5)/'NCO Medium-Large C&amp;I Cust Fcst'!N5</f>
        <v>1038.2571194819702</v>
      </c>
      <c r="G11" s="315">
        <f>(E11*'NCO Sml Comm Cust Fcst'!C5+'NCO - School (Non-Lighting)'!F11*'NCO Medium-Large C&amp;I Cust Fcst'!N5)/('NCO Sml Comm Cust Fcst'!C5+'NCO Medium-Large C&amp;I Cust Fcst'!N5)</f>
        <v>928.67876601666103</v>
      </c>
      <c r="H11" s="313">
        <f>(B11*('NCO Res Cust Fcst'!K6+'NCO Sml Comm Cust Fcst'!H5+'NCO Agricultural'!H6)+'NCO - School (Non-Lighting)'!E11*'NCO Sml Comm Cust Fcst'!I5)/('NCO Res Cust Fcst'!K6+'NCO Sml Comm Cust Fcst'!H5+'NCO Agricultural'!H6+'NCO Sml Comm Cust Fcst'!I5)</f>
        <v>293.96658728122173</v>
      </c>
      <c r="I11" s="314">
        <f>(C11*('NCO Medium-Large C&amp;I Cust Fcst'!M5+'NCO Agricultural'!H7)+'NCO - School (Non-Lighting)'!F11*'NCO Medium-Large C&amp;I Cust Fcst'!N5)/('NCO Medium-Large C&amp;I Cust Fcst'!M5+'NCO Agricultural'!H7+'NCO Medium-Large C&amp;I Cust Fcst'!N5)</f>
        <v>728.69899125337895</v>
      </c>
      <c r="J11" s="315">
        <f>(H11*('NCO Res Cust Fcst'!K6+'NCO Sml Comm Cust Fcst'!J5+'NCO Agricultural'!J6)+'NCO - School (Non-Lighting)'!I11*('NCO Medium-Large C&amp;I Cust Fcst'!P5+'NCO Agricultural'!J7))/('NCO Res Cust Fcst'!K6+'NCO Sml Comm Cust Fcst'!J5+'NCO Medium-Large C&amp;I Cust Fcst'!P5+'NCO Agricultural'!J5)</f>
        <v>556.64997337186946</v>
      </c>
    </row>
    <row r="12" spans="1:12">
      <c r="A12" s="50"/>
      <c r="B12" s="135"/>
      <c r="C12" s="136"/>
      <c r="D12" s="137"/>
      <c r="E12" s="135"/>
      <c r="F12" s="136"/>
      <c r="G12" s="137"/>
      <c r="H12" s="135"/>
      <c r="I12" s="136"/>
      <c r="J12" s="137"/>
      <c r="L12" s="283"/>
    </row>
    <row r="13" spans="1:12">
      <c r="A13" s="46" t="s">
        <v>17</v>
      </c>
      <c r="B13" s="135">
        <f t="shared" ref="B13:J13" si="0">SUM(B8:B10)</f>
        <v>3956.13652997187</v>
      </c>
      <c r="C13" s="136">
        <f t="shared" si="0"/>
        <v>17072.473433803862</v>
      </c>
      <c r="D13" s="137">
        <f t="shared" si="0"/>
        <v>11622.075247047727</v>
      </c>
      <c r="E13" s="135"/>
      <c r="F13" s="136">
        <f t="shared" ref="F13:G13" si="1">SUM(F8:F10)</f>
        <v>4441.011870798342</v>
      </c>
      <c r="G13" s="137">
        <f t="shared" si="1"/>
        <v>4441.011870798342</v>
      </c>
      <c r="H13" s="135">
        <f t="shared" si="0"/>
        <v>3956.13652997187</v>
      </c>
      <c r="I13" s="136">
        <f t="shared" si="0"/>
        <v>16303.375154941812</v>
      </c>
      <c r="J13" s="137">
        <f t="shared" si="0"/>
        <v>11359.895334177238</v>
      </c>
    </row>
    <row r="14" spans="1:12">
      <c r="A14" s="11" t="s">
        <v>82</v>
      </c>
      <c r="B14" s="135">
        <f>B8+B9+B11</f>
        <v>3951.5606562241483</v>
      </c>
      <c r="C14" s="136">
        <f t="shared" ref="C14:J14" si="2">C8+C9+C11</f>
        <v>17063.327795570684</v>
      </c>
      <c r="D14" s="137">
        <f t="shared" si="2"/>
        <v>11619.362033539916</v>
      </c>
      <c r="E14" s="135"/>
      <c r="F14" s="136">
        <f t="shared" ref="F14:G14" si="3">F8+F9+F11</f>
        <v>4434.6791638533132</v>
      </c>
      <c r="G14" s="137">
        <f t="shared" si="3"/>
        <v>4325.100810388004</v>
      </c>
      <c r="H14" s="135">
        <f>H8+H9+H11</f>
        <v>3949.1991626859403</v>
      </c>
      <c r="I14" s="136">
        <f t="shared" si="2"/>
        <v>16289.007554510348</v>
      </c>
      <c r="J14" s="137">
        <f t="shared" si="2"/>
        <v>11350.507940007301</v>
      </c>
    </row>
    <row r="15" spans="1:12">
      <c r="A15" s="50"/>
      <c r="B15" s="135"/>
      <c r="C15" s="136"/>
      <c r="D15" s="137"/>
      <c r="E15" s="135"/>
      <c r="F15" s="136"/>
      <c r="G15" s="137"/>
      <c r="H15" s="135"/>
      <c r="I15" s="136"/>
      <c r="J15" s="137"/>
    </row>
    <row r="16" spans="1:12">
      <c r="A16" s="46" t="s">
        <v>25</v>
      </c>
      <c r="B16" s="135"/>
      <c r="C16" s="136"/>
      <c r="D16" s="137"/>
      <c r="E16" s="135"/>
      <c r="F16" s="136"/>
      <c r="G16" s="137"/>
      <c r="H16" s="135"/>
      <c r="I16" s="136"/>
      <c r="J16" s="137"/>
    </row>
    <row r="17" spans="1:10">
      <c r="A17" s="51">
        <f>Input!B3</f>
        <v>2.7723662892949787E-2</v>
      </c>
      <c r="B17" s="135"/>
      <c r="C17" s="136"/>
      <c r="D17" s="137"/>
      <c r="E17" s="135"/>
      <c r="F17" s="136"/>
      <c r="G17" s="137"/>
      <c r="H17" s="135"/>
      <c r="I17" s="136"/>
      <c r="J17" s="137"/>
    </row>
    <row r="18" spans="1:10">
      <c r="A18" s="46" t="s">
        <v>26</v>
      </c>
      <c r="B18" s="135"/>
      <c r="C18" s="136"/>
      <c r="D18" s="137"/>
      <c r="E18" s="135"/>
      <c r="F18" s="136"/>
      <c r="G18" s="137"/>
      <c r="H18" s="135"/>
      <c r="I18" s="136"/>
      <c r="J18" s="137"/>
    </row>
    <row r="19" spans="1:10">
      <c r="A19" s="51">
        <f>Input!B4</f>
        <v>1.5023E-2</v>
      </c>
      <c r="B19" s="135"/>
      <c r="C19" s="136"/>
      <c r="D19" s="137"/>
      <c r="E19" s="135"/>
      <c r="F19" s="136"/>
      <c r="G19" s="137"/>
      <c r="H19" s="135"/>
      <c r="I19" s="136"/>
      <c r="J19" s="137"/>
    </row>
    <row r="20" spans="1:10">
      <c r="A20" s="20" t="s">
        <v>27</v>
      </c>
      <c r="B20" s="135">
        <f t="shared" ref="B20:J23" si="4">(B8*(1+$A$17)*(1+$A$19))</f>
        <v>3252.4303937174222</v>
      </c>
      <c r="C20" s="136">
        <f t="shared" si="4"/>
        <v>14193.406392040179</v>
      </c>
      <c r="D20" s="137">
        <f t="shared" si="4"/>
        <v>9646.9635719278958</v>
      </c>
      <c r="E20" s="135"/>
      <c r="F20" s="136">
        <f t="shared" ref="F20:G20" si="5">(F8*(1+$A$17)*(1+$A$19))</f>
        <v>0</v>
      </c>
      <c r="G20" s="137">
        <f t="shared" si="5"/>
        <v>0</v>
      </c>
      <c r="H20" s="135">
        <f t="shared" si="4"/>
        <v>3252.4303937174222</v>
      </c>
      <c r="I20" s="136">
        <f t="shared" si="4"/>
        <v>13329.205177251355</v>
      </c>
      <c r="J20" s="137">
        <f t="shared" si="4"/>
        <v>9294.7538870617173</v>
      </c>
    </row>
    <row r="21" spans="1:10">
      <c r="A21" s="20" t="s">
        <v>15</v>
      </c>
      <c r="B21" s="135">
        <f t="shared" si="4"/>
        <v>560.57355365721003</v>
      </c>
      <c r="C21" s="136">
        <f t="shared" si="4"/>
        <v>2861.2222949849493</v>
      </c>
      <c r="D21" s="137">
        <f t="shared" si="4"/>
        <v>1905.2044814723947</v>
      </c>
      <c r="E21" s="135"/>
      <c r="F21" s="136">
        <f t="shared" ref="F21:G21" si="6">(F9*(1+$A$17)*(1+$A$19))</f>
        <v>3543.0223371502484</v>
      </c>
      <c r="G21" s="137">
        <f t="shared" si="6"/>
        <v>3543.0223371502484</v>
      </c>
      <c r="H21" s="135">
        <f t="shared" si="4"/>
        <v>560.57355365721003</v>
      </c>
      <c r="I21" s="136">
        <f t="shared" si="4"/>
        <v>2902.7354038474391</v>
      </c>
      <c r="J21" s="137">
        <f t="shared" si="4"/>
        <v>1965.0010492230094</v>
      </c>
    </row>
    <row r="22" spans="1:10">
      <c r="A22" s="20" t="s">
        <v>16</v>
      </c>
      <c r="B22" s="135">
        <f t="shared" si="4"/>
        <v>313.89191874285751</v>
      </c>
      <c r="C22" s="136">
        <f t="shared" si="4"/>
        <v>754.74657204026096</v>
      </c>
      <c r="D22" s="137">
        <f t="shared" si="4"/>
        <v>571.55263454288138</v>
      </c>
      <c r="E22" s="135"/>
      <c r="F22" s="136">
        <f t="shared" ref="F22:G22" si="7">(F10*(1+$A$17)*(1+$A$19))</f>
        <v>1089.6776195185107</v>
      </c>
      <c r="G22" s="137">
        <f t="shared" si="7"/>
        <v>1089.6776195185107</v>
      </c>
      <c r="H22" s="135">
        <f t="shared" si="4"/>
        <v>313.89191874285751</v>
      </c>
      <c r="I22" s="136">
        <f t="shared" si="4"/>
        <v>775.13969051416882</v>
      </c>
      <c r="J22" s="137">
        <f t="shared" si="4"/>
        <v>590.4693264448382</v>
      </c>
    </row>
    <row r="23" spans="1:10">
      <c r="A23" s="11" t="s">
        <v>83</v>
      </c>
      <c r="B23" s="135">
        <f t="shared" si="4"/>
        <v>309.11853584510351</v>
      </c>
      <c r="C23" s="136">
        <f t="shared" si="4"/>
        <v>745.20617920205348</v>
      </c>
      <c r="D23" s="137">
        <f t="shared" si="4"/>
        <v>568.72231017857962</v>
      </c>
      <c r="E23" s="135"/>
      <c r="F23" s="136">
        <f t="shared" ref="F23:G23" si="8">(F11*(1+$A$17)*(1+$A$19))</f>
        <v>1083.0715729590006</v>
      </c>
      <c r="G23" s="137">
        <f t="shared" si="8"/>
        <v>968.76347198576127</v>
      </c>
      <c r="H23" s="135">
        <f t="shared" si="4"/>
        <v>306.65511279413971</v>
      </c>
      <c r="I23" s="136">
        <f t="shared" si="4"/>
        <v>760.15193911139806</v>
      </c>
      <c r="J23" s="137">
        <f t="shared" si="4"/>
        <v>580.67674272078614</v>
      </c>
    </row>
    <row r="24" spans="1:10">
      <c r="A24" s="46"/>
      <c r="B24" s="135"/>
      <c r="C24" s="149"/>
      <c r="D24" s="150"/>
      <c r="E24" s="135"/>
      <c r="F24" s="149"/>
      <c r="G24" s="150"/>
      <c r="H24" s="148"/>
      <c r="I24" s="149"/>
      <c r="J24" s="150"/>
    </row>
    <row r="25" spans="1:10">
      <c r="A25" s="46" t="s">
        <v>17</v>
      </c>
      <c r="B25" s="148">
        <f t="shared" ref="B25:J25" si="9">B20+B21+B22</f>
        <v>4126.8958661174902</v>
      </c>
      <c r="C25" s="149">
        <f t="shared" si="9"/>
        <v>17809.375259065389</v>
      </c>
      <c r="D25" s="150">
        <f t="shared" si="9"/>
        <v>12123.720687943171</v>
      </c>
      <c r="E25" s="148"/>
      <c r="F25" s="149">
        <f t="shared" ref="F25:G25" si="10">F20+F21+F22</f>
        <v>4632.6999566687591</v>
      </c>
      <c r="G25" s="150">
        <f t="shared" si="10"/>
        <v>4632.6999566687591</v>
      </c>
      <c r="H25" s="148">
        <f t="shared" si="9"/>
        <v>4126.8958661174902</v>
      </c>
      <c r="I25" s="149">
        <f t="shared" si="9"/>
        <v>17007.080271612962</v>
      </c>
      <c r="J25" s="150">
        <f t="shared" si="9"/>
        <v>11850.224262729565</v>
      </c>
    </row>
    <row r="26" spans="1:10">
      <c r="A26" s="11" t="s">
        <v>82</v>
      </c>
      <c r="B26" s="135">
        <f>B20+B21+B23</f>
        <v>4122.1224832197358</v>
      </c>
      <c r="C26" s="136">
        <f t="shared" ref="C26:J26" si="11">C20+C21+C23</f>
        <v>17799.834866227182</v>
      </c>
      <c r="D26" s="137">
        <f t="shared" si="11"/>
        <v>12120.89036357887</v>
      </c>
      <c r="E26" s="135"/>
      <c r="F26" s="136">
        <f t="shared" ref="F26:G26" si="12">F20+F21+F23</f>
        <v>4626.093910109249</v>
      </c>
      <c r="G26" s="137">
        <f t="shared" si="12"/>
        <v>4511.7858091360094</v>
      </c>
      <c r="H26" s="135">
        <f>H20+H21+H23</f>
        <v>4119.6590601687722</v>
      </c>
      <c r="I26" s="136">
        <f t="shared" si="11"/>
        <v>16992.092520210193</v>
      </c>
      <c r="J26" s="137">
        <f t="shared" si="11"/>
        <v>11840.431679005515</v>
      </c>
    </row>
    <row r="27" spans="1:10">
      <c r="A27" s="11"/>
      <c r="B27" s="135"/>
      <c r="C27" s="136"/>
      <c r="D27" s="137"/>
      <c r="E27" s="135"/>
      <c r="F27" s="136"/>
      <c r="G27" s="137"/>
      <c r="H27" s="135"/>
      <c r="I27" s="136"/>
      <c r="J27" s="137"/>
    </row>
    <row r="28" spans="1:10">
      <c r="A28" s="20" t="s">
        <v>20</v>
      </c>
      <c r="B28" s="135"/>
      <c r="C28" s="136"/>
      <c r="D28" s="137"/>
      <c r="E28" s="135"/>
      <c r="F28" s="136"/>
      <c r="G28" s="137"/>
      <c r="H28" s="135"/>
      <c r="I28" s="136"/>
      <c r="J28" s="137"/>
    </row>
    <row r="29" spans="1:10">
      <c r="A29" s="20" t="s">
        <v>120</v>
      </c>
      <c r="B29" s="135">
        <f>B20*Input!$B$8</f>
        <v>4025.2214314153925</v>
      </c>
      <c r="C29" s="136">
        <f>C20*Input!$B$8</f>
        <v>17565.818996276437</v>
      </c>
      <c r="D29" s="137">
        <f>D20*Input!$B$8</f>
        <v>11939.122384545482</v>
      </c>
      <c r="E29" s="135"/>
      <c r="F29" s="136">
        <f>F20*Input!$B$8</f>
        <v>0</v>
      </c>
      <c r="G29" s="137">
        <f>G20*Input!$B$8</f>
        <v>0</v>
      </c>
      <c r="H29" s="135">
        <f>H20*Input!$B$8</f>
        <v>4025.2214314153925</v>
      </c>
      <c r="I29" s="136">
        <f>I20*Input!$B$8</f>
        <v>16496.279965543406</v>
      </c>
      <c r="J29" s="137">
        <f>J20*Input!$B$8</f>
        <v>11503.226208377053</v>
      </c>
    </row>
    <row r="30" spans="1:10">
      <c r="A30" s="20" t="s">
        <v>121</v>
      </c>
      <c r="B30" s="135">
        <f>B21*Input!$B$9</f>
        <v>691.04324826679101</v>
      </c>
      <c r="C30" s="136">
        <f>C21*Input!$B$9</f>
        <v>3527.1523885495935</v>
      </c>
      <c r="D30" s="137">
        <f>D21*Input!$B$9</f>
        <v>2348.6279095753011</v>
      </c>
      <c r="E30" s="135"/>
      <c r="F30" s="136">
        <f>F21*Input!$B$9</f>
        <v>4367.6367687571783</v>
      </c>
      <c r="G30" s="137">
        <f>G21*Input!$B$9</f>
        <v>4367.6367687571783</v>
      </c>
      <c r="H30" s="135">
        <f>H21*Input!$B$9</f>
        <v>691.04324826679101</v>
      </c>
      <c r="I30" s="136">
        <f>I21*Input!$B$9</f>
        <v>3578.3273920916445</v>
      </c>
      <c r="J30" s="137">
        <f>J21*Input!$B$9</f>
        <v>2422.3417231221642</v>
      </c>
    </row>
    <row r="31" spans="1:10">
      <c r="A31" s="20" t="s">
        <v>136</v>
      </c>
      <c r="B31" s="135">
        <f>B22*Input!$B$13</f>
        <v>337.98511736715159</v>
      </c>
      <c r="C31" s="136">
        <f>C22*Input!$B$13</f>
        <v>812.67816564101156</v>
      </c>
      <c r="D31" s="137">
        <f>D22*Input!$B$13</f>
        <v>615.42292978154637</v>
      </c>
      <c r="E31" s="135"/>
      <c r="F31" s="136">
        <f>F22*Input!$B$13</f>
        <v>1173.3172985158369</v>
      </c>
      <c r="G31" s="137">
        <f>G22*Input!$B$13</f>
        <v>1173.3172985158369</v>
      </c>
      <c r="H31" s="135">
        <f>H22*Input!$B$13</f>
        <v>337.98511736715159</v>
      </c>
      <c r="I31" s="136">
        <f>I22*Input!$B$13</f>
        <v>834.63658549613513</v>
      </c>
      <c r="J31" s="137">
        <f>J22*Input!$B$13</f>
        <v>635.79159794696909</v>
      </c>
    </row>
    <row r="32" spans="1:10">
      <c r="A32" s="20" t="s">
        <v>137</v>
      </c>
      <c r="B32" s="135">
        <f>B23*Input!$B$13</f>
        <v>332.84534701117309</v>
      </c>
      <c r="C32" s="136">
        <f>C23*Input!$B$13</f>
        <v>802.40548705130948</v>
      </c>
      <c r="D32" s="137">
        <f>D23*Input!$B$13</f>
        <v>612.37536004388994</v>
      </c>
      <c r="E32" s="135"/>
      <c r="F32" s="136">
        <f>F23*Input!$B$13</f>
        <v>1166.2041959208702</v>
      </c>
      <c r="G32" s="137">
        <f>G23*Input!$B$13</f>
        <v>1043.1222221058447</v>
      </c>
      <c r="H32" s="135">
        <f>H23*Input!$B$13</f>
        <v>330.19284059323303</v>
      </c>
      <c r="I32" s="136">
        <f>I23*Input!$B$13</f>
        <v>818.49842897008273</v>
      </c>
      <c r="J32" s="137">
        <f>J23*Input!$B$13</f>
        <v>625.24737121900182</v>
      </c>
    </row>
    <row r="33" spans="1:12">
      <c r="A33" s="46"/>
      <c r="B33" s="135"/>
      <c r="C33" s="136"/>
      <c r="D33" s="137"/>
      <c r="E33" s="135"/>
      <c r="F33" s="136"/>
      <c r="G33" s="137"/>
      <c r="H33" s="135"/>
      <c r="I33" s="136"/>
      <c r="J33" s="137"/>
    </row>
    <row r="34" spans="1:12">
      <c r="A34" s="11" t="s">
        <v>17</v>
      </c>
      <c r="B34" s="135">
        <f>SUM(B29:B31)</f>
        <v>5054.249797049335</v>
      </c>
      <c r="C34" s="136">
        <f t="shared" ref="C34:D34" si="13">SUM(C29:C31)</f>
        <v>21905.649550467042</v>
      </c>
      <c r="D34" s="137">
        <f t="shared" si="13"/>
        <v>14903.173223902329</v>
      </c>
      <c r="E34" s="135"/>
      <c r="F34" s="136">
        <f t="shared" ref="F34:G34" si="14">SUM(F29:F31)</f>
        <v>5540.9540672730154</v>
      </c>
      <c r="G34" s="137">
        <f t="shared" si="14"/>
        <v>5540.9540672730154</v>
      </c>
      <c r="H34" s="135">
        <f>SUM(H29:H31)</f>
        <v>5054.249797049335</v>
      </c>
      <c r="I34" s="136">
        <f t="shared" ref="I34:J34" si="15">SUM(I29:I31)</f>
        <v>20909.243943131187</v>
      </c>
      <c r="J34" s="137">
        <f t="shared" si="15"/>
        <v>14561.359529446187</v>
      </c>
    </row>
    <row r="35" spans="1:12">
      <c r="A35" s="11" t="s">
        <v>82</v>
      </c>
      <c r="B35" s="135">
        <f>B29+B30+B32</f>
        <v>5049.1100266933572</v>
      </c>
      <c r="C35" s="136">
        <f t="shared" ref="C35:J35" si="16">C29+C30+C32</f>
        <v>21895.376871877339</v>
      </c>
      <c r="D35" s="137">
        <f t="shared" si="16"/>
        <v>14900.125654164674</v>
      </c>
      <c r="E35" s="135"/>
      <c r="F35" s="136">
        <f t="shared" ref="F35:G35" si="17">F29+F30+F32</f>
        <v>5533.8409646780483</v>
      </c>
      <c r="G35" s="137">
        <f t="shared" si="17"/>
        <v>5410.7589908630234</v>
      </c>
      <c r="H35" s="135">
        <f>H29+H30+H32</f>
        <v>5046.4575202754168</v>
      </c>
      <c r="I35" s="136">
        <f t="shared" si="16"/>
        <v>20893.105786605134</v>
      </c>
      <c r="J35" s="137">
        <f t="shared" si="16"/>
        <v>14550.81530271822</v>
      </c>
    </row>
    <row r="36" spans="1:12">
      <c r="A36" s="11"/>
      <c r="B36" s="135"/>
      <c r="C36" s="136"/>
      <c r="D36" s="137"/>
      <c r="E36" s="135"/>
      <c r="F36" s="136"/>
      <c r="G36" s="137"/>
      <c r="H36" s="135"/>
      <c r="I36" s="136"/>
      <c r="J36" s="137"/>
    </row>
    <row r="37" spans="1:12">
      <c r="A37" s="11" t="s">
        <v>113</v>
      </c>
      <c r="B37" s="130">
        <f>'NCO - Res'!B37+'NCO - Small Commercial'!F36+'NCO - Agricultural Class'!B37</f>
        <v>622.41666666666652</v>
      </c>
      <c r="C37" s="131">
        <f>'NCO - Medium-Large C&amp;I '!Q37+'NCO - Agricultural Class'!C37</f>
        <v>957.93592151286487</v>
      </c>
      <c r="D37" s="133">
        <f>B37+C37</f>
        <v>1580.3525881795313</v>
      </c>
      <c r="E37" s="130"/>
      <c r="F37" s="131">
        <f>'NCO - Medium-Large C&amp;I '!G37</f>
        <v>18.665353543136195</v>
      </c>
      <c r="G37" s="133">
        <f>E37+F37</f>
        <v>18.665353543136195</v>
      </c>
      <c r="H37" s="130">
        <f>B37+E37</f>
        <v>622.41666666666652</v>
      </c>
      <c r="I37" s="131">
        <f>C37+F37</f>
        <v>976.6012750560011</v>
      </c>
      <c r="J37" s="133">
        <f>H37+I37</f>
        <v>1599.0179417226677</v>
      </c>
      <c r="L37" s="53"/>
    </row>
    <row r="38" spans="1:12">
      <c r="A38" s="20" t="s">
        <v>84</v>
      </c>
      <c r="B38" s="130">
        <f>'NCO - Res'!B38+'NCO - Small Commercial'!F37+'NCO - Agricultural Class'!B38</f>
        <v>2.9085765472427219</v>
      </c>
      <c r="C38" s="131">
        <f>'NCO - Medium-Large C&amp;I '!Q38+'NCO - Agricultural Class'!C38</f>
        <v>39.20874768045865</v>
      </c>
      <c r="D38" s="133">
        <f>B38+C38</f>
        <v>42.117324227701374</v>
      </c>
      <c r="E38" s="130"/>
      <c r="F38" s="131">
        <f>'NCO - Medium-Large C&amp;I '!G38</f>
        <v>0.18711792798371535</v>
      </c>
      <c r="G38" s="133">
        <f>E38+F38</f>
        <v>0.18711792798371535</v>
      </c>
      <c r="H38" s="130">
        <f t="shared" ref="H38:H39" si="18">B38+E38</f>
        <v>2.9085765472427219</v>
      </c>
      <c r="I38" s="131">
        <f t="shared" ref="I38:I39" si="19">C38+F38</f>
        <v>39.395865608442364</v>
      </c>
      <c r="J38" s="133">
        <f>H38+I38</f>
        <v>42.304442155685088</v>
      </c>
    </row>
    <row r="39" spans="1:12">
      <c r="A39" s="20" t="s">
        <v>85</v>
      </c>
      <c r="B39" s="130">
        <f>'NCO - Res'!B39+'NCO - Small Commercial'!F38+'NCO - Agricultural Class'!B39</f>
        <v>9.3362499999999997</v>
      </c>
      <c r="C39" s="131">
        <f>'NCO - Medium-Large C&amp;I '!Q39+'NCO - Agricultural Class'!C39</f>
        <v>14.369038822692968</v>
      </c>
      <c r="D39" s="133">
        <f>B39+C39</f>
        <v>23.705288822692967</v>
      </c>
      <c r="E39" s="130"/>
      <c r="F39" s="131">
        <f>'NCO - Medium-Large C&amp;I '!G39</f>
        <v>0.27998030314704292</v>
      </c>
      <c r="G39" s="133">
        <f>E39+F39</f>
        <v>0.27998030314704292</v>
      </c>
      <c r="H39" s="130">
        <f t="shared" si="18"/>
        <v>9.3362499999999997</v>
      </c>
      <c r="I39" s="131">
        <f t="shared" si="19"/>
        <v>14.649019125840011</v>
      </c>
      <c r="J39" s="133">
        <f>H39+I39</f>
        <v>23.985269125840013</v>
      </c>
    </row>
    <row r="40" spans="1:12">
      <c r="A40" s="11"/>
      <c r="B40" s="135"/>
      <c r="C40" s="136"/>
      <c r="D40" s="137"/>
      <c r="E40" s="135"/>
      <c r="F40" s="136"/>
      <c r="G40" s="137"/>
      <c r="H40" s="135"/>
      <c r="I40" s="136"/>
      <c r="J40" s="137"/>
    </row>
    <row r="41" spans="1:12">
      <c r="A41" s="11" t="s">
        <v>114</v>
      </c>
      <c r="B41" s="119">
        <f>(B34*B38+B35*B39)/B37</f>
        <v>99.355350237493397</v>
      </c>
      <c r="C41" s="32">
        <f t="shared" ref="C41:J41" si="20">(C34*C38+C35*C39)/C37</f>
        <v>1225.0387316690199</v>
      </c>
      <c r="D41" s="33">
        <f t="shared" si="20"/>
        <v>620.68020020077381</v>
      </c>
      <c r="E41" s="119"/>
      <c r="F41" s="32">
        <f t="shared" ref="F41:G41" si="21">(F34*F38+F35*F39)/F37</f>
        <v>138.55501365149149</v>
      </c>
      <c r="G41" s="33">
        <f t="shared" si="21"/>
        <v>136.70878404426614</v>
      </c>
      <c r="H41" s="119">
        <f>(H34*H38+H35*H39)/H37</f>
        <v>99.315562641224304</v>
      </c>
      <c r="I41" s="32">
        <f t="shared" si="20"/>
        <v>1156.8705668125663</v>
      </c>
      <c r="J41" s="33">
        <f t="shared" si="20"/>
        <v>603.50505630852342</v>
      </c>
    </row>
    <row r="42" spans="1:12">
      <c r="A42" s="11"/>
      <c r="B42" s="135"/>
      <c r="C42" s="136"/>
      <c r="D42" s="137"/>
      <c r="E42" s="135"/>
      <c r="F42" s="136"/>
      <c r="G42" s="137"/>
      <c r="H42" s="135"/>
      <c r="I42" s="136"/>
      <c r="J42" s="137"/>
    </row>
    <row r="43" spans="1:12">
      <c r="A43" s="39" t="s">
        <v>21</v>
      </c>
      <c r="B43" s="222">
        <v>39.561051654555335</v>
      </c>
      <c r="C43" s="223">
        <v>169.83900268749059</v>
      </c>
      <c r="D43" s="223">
        <v>115.702949817671</v>
      </c>
      <c r="E43" s="222"/>
      <c r="F43" s="223">
        <v>44.212377237459648</v>
      </c>
      <c r="G43" s="223">
        <v>44.212377237459648</v>
      </c>
      <c r="H43" s="222">
        <v>39.561051654555335</v>
      </c>
      <c r="I43" s="223">
        <v>162.18990990983133</v>
      </c>
      <c r="J43" s="224">
        <v>113.092836091042</v>
      </c>
    </row>
    <row r="44" spans="1:12">
      <c r="A44" s="39" t="s">
        <v>81</v>
      </c>
      <c r="B44" s="222">
        <v>-3.0284021924274875</v>
      </c>
      <c r="C44" s="223">
        <v>-3.0284021924274875</v>
      </c>
      <c r="D44" s="223">
        <v>-3.0284021924274875</v>
      </c>
      <c r="E44" s="222"/>
      <c r="F44" s="223">
        <v>-3.0284021924274875</v>
      </c>
      <c r="G44" s="223">
        <v>-3.0284021924274875</v>
      </c>
      <c r="H44" s="222">
        <v>-3.0284021924274875</v>
      </c>
      <c r="I44" s="223">
        <v>-3.0284021924274875</v>
      </c>
      <c r="J44" s="224">
        <v>-3.0284021924274875</v>
      </c>
    </row>
    <row r="45" spans="1:12" ht="15">
      <c r="A45" s="39" t="s">
        <v>22</v>
      </c>
      <c r="B45" s="225">
        <v>56.765091109671744</v>
      </c>
      <c r="C45" s="226">
        <v>481.19701669211463</v>
      </c>
      <c r="D45" s="226">
        <v>304.82742398059213</v>
      </c>
      <c r="E45" s="225"/>
      <c r="F45" s="226">
        <v>481.55031066335579</v>
      </c>
      <c r="G45" s="226">
        <v>481.55031066335579</v>
      </c>
      <c r="H45" s="225">
        <v>56.765091109671744</v>
      </c>
      <c r="I45" s="226">
        <v>481.21852788334604</v>
      </c>
      <c r="J45" s="227">
        <v>311.27955907606429</v>
      </c>
    </row>
    <row r="46" spans="1:12">
      <c r="A46" s="11" t="s">
        <v>115</v>
      </c>
      <c r="B46" s="154">
        <f t="shared" ref="B46:J46" si="22">B43+B44+B45</f>
        <v>93.297740571799594</v>
      </c>
      <c r="C46" s="155">
        <f t="shared" si="22"/>
        <v>648.00761718717774</v>
      </c>
      <c r="D46" s="156">
        <f t="shared" si="22"/>
        <v>417.50197160583565</v>
      </c>
      <c r="E46" s="154"/>
      <c r="F46" s="155">
        <f t="shared" ref="F46:G46" si="23">F43+F44+F45</f>
        <v>522.73428570838792</v>
      </c>
      <c r="G46" s="156">
        <f t="shared" si="23"/>
        <v>522.73428570838792</v>
      </c>
      <c r="H46" s="154">
        <f t="shared" si="22"/>
        <v>93.297740571799594</v>
      </c>
      <c r="I46" s="155">
        <f t="shared" si="22"/>
        <v>640.38003560074992</v>
      </c>
      <c r="J46" s="156">
        <f t="shared" si="22"/>
        <v>421.34399297467883</v>
      </c>
    </row>
    <row r="47" spans="1:12">
      <c r="A47" s="26"/>
      <c r="B47" s="157"/>
      <c r="C47" s="151"/>
      <c r="D47" s="158"/>
      <c r="E47" s="157"/>
      <c r="F47" s="151"/>
      <c r="G47" s="158"/>
      <c r="H47" s="157"/>
      <c r="I47" s="151"/>
      <c r="J47" s="158"/>
    </row>
    <row r="48" spans="1:12">
      <c r="A48" s="11" t="s">
        <v>116</v>
      </c>
      <c r="B48" s="159">
        <f>B41+B46</f>
        <v>192.65309080929299</v>
      </c>
      <c r="C48" s="101">
        <f t="shared" ref="C48:J48" si="24">C41+C46</f>
        <v>1873.0463488561977</v>
      </c>
      <c r="D48" s="102">
        <f t="shared" si="24"/>
        <v>1038.1821718066094</v>
      </c>
      <c r="E48" s="159"/>
      <c r="F48" s="101">
        <f t="shared" si="24"/>
        <v>661.28929935987935</v>
      </c>
      <c r="G48" s="102">
        <f t="shared" si="24"/>
        <v>659.44306975265408</v>
      </c>
      <c r="H48" s="159">
        <f t="shared" si="24"/>
        <v>192.6133032130239</v>
      </c>
      <c r="I48" s="101">
        <f t="shared" si="24"/>
        <v>1797.2506024133163</v>
      </c>
      <c r="J48" s="102">
        <f t="shared" si="24"/>
        <v>1024.8490492832022</v>
      </c>
    </row>
    <row r="49" spans="1:11" ht="13.5" thickBot="1">
      <c r="A49" s="300"/>
      <c r="B49" s="160"/>
      <c r="C49" s="161"/>
      <c r="D49" s="122"/>
      <c r="E49" s="160"/>
      <c r="F49" s="161"/>
      <c r="G49" s="122"/>
      <c r="H49" s="160"/>
      <c r="I49" s="161"/>
      <c r="J49" s="122"/>
    </row>
    <row r="50" spans="1:11">
      <c r="A50" s="193" t="s">
        <v>127</v>
      </c>
      <c r="B50" s="95"/>
      <c r="C50" s="95"/>
      <c r="D50" s="95"/>
      <c r="E50" s="184"/>
      <c r="F50" s="184"/>
      <c r="G50" s="184"/>
      <c r="H50" s="184"/>
      <c r="I50" s="184"/>
      <c r="J50" s="185"/>
      <c r="K50" s="95"/>
    </row>
    <row r="51" spans="1:11" ht="13.5" thickBot="1">
      <c r="A51" s="169" t="s">
        <v>128</v>
      </c>
      <c r="B51" s="103"/>
      <c r="C51" s="103"/>
      <c r="D51" s="103"/>
      <c r="E51" s="103"/>
      <c r="F51" s="103"/>
      <c r="G51" s="103"/>
      <c r="H51" s="103"/>
      <c r="I51" s="103"/>
      <c r="J51" s="104"/>
      <c r="K51" s="95"/>
    </row>
    <row r="53" spans="1:11">
      <c r="B53" s="52"/>
      <c r="C53" s="52"/>
      <c r="D53" s="52"/>
      <c r="E53" s="52"/>
      <c r="F53" s="52"/>
      <c r="G53" s="52"/>
      <c r="H53" s="52"/>
      <c r="I53" s="52"/>
      <c r="J53" s="52"/>
    </row>
    <row r="54" spans="1:11">
      <c r="B54" s="52"/>
      <c r="C54" s="52"/>
      <c r="D54" s="52"/>
      <c r="E54" s="52"/>
      <c r="F54" s="52"/>
      <c r="G54" s="52"/>
      <c r="H54" s="52"/>
      <c r="I54" s="52"/>
      <c r="J54" s="52"/>
    </row>
    <row r="55" spans="1:11">
      <c r="A55" s="54"/>
    </row>
    <row r="67" spans="1:1">
      <c r="A67" s="54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61"/>
  <sheetViews>
    <sheetView zoomScaleNormal="100" workbookViewId="0">
      <selection activeCell="B43" sqref="B43"/>
    </sheetView>
  </sheetViews>
  <sheetFormatPr defaultColWidth="9.140625" defaultRowHeight="12.75"/>
  <cols>
    <col min="1" max="1" width="45.7109375" style="1" customWidth="1"/>
    <col min="2" max="2" width="12.5703125" style="1" customWidth="1"/>
    <col min="3" max="3" width="12.7109375" style="95" customWidth="1"/>
    <col min="4" max="4" width="12.7109375" style="1" customWidth="1"/>
    <col min="5" max="5" width="12.5703125" style="1" customWidth="1"/>
    <col min="6" max="8" width="12.7109375" style="1" customWidth="1"/>
    <col min="9" max="9" width="12.85546875" style="1" customWidth="1"/>
    <col min="10" max="10" width="12.7109375" style="1" customWidth="1"/>
    <col min="11" max="16384" width="9.140625" style="1"/>
  </cols>
  <sheetData>
    <row r="1" spans="1:12" ht="18.75" thickBot="1">
      <c r="A1" s="352" t="s">
        <v>96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2" ht="13.5" thickBot="1">
      <c r="A2" s="105"/>
      <c r="B2" s="364" t="s">
        <v>139</v>
      </c>
      <c r="C2" s="364"/>
      <c r="D2" s="365"/>
      <c r="E2" s="367" t="s">
        <v>67</v>
      </c>
      <c r="F2" s="367"/>
      <c r="G2" s="368"/>
      <c r="H2" s="367" t="s">
        <v>36</v>
      </c>
      <c r="I2" s="367"/>
      <c r="J2" s="368"/>
    </row>
    <row r="3" spans="1:12" ht="13.5" thickBot="1">
      <c r="A3" s="106" t="s">
        <v>0</v>
      </c>
      <c r="B3" s="124" t="s">
        <v>35</v>
      </c>
      <c r="C3" s="124" t="s">
        <v>40</v>
      </c>
      <c r="D3" s="126" t="s">
        <v>36</v>
      </c>
      <c r="E3" s="124" t="s">
        <v>35</v>
      </c>
      <c r="F3" s="124" t="s">
        <v>40</v>
      </c>
      <c r="G3" s="126" t="s">
        <v>36</v>
      </c>
      <c r="H3" s="124" t="s">
        <v>35</v>
      </c>
      <c r="I3" s="124" t="s">
        <v>40</v>
      </c>
      <c r="J3" s="126" t="s">
        <v>36</v>
      </c>
    </row>
    <row r="4" spans="1:12">
      <c r="A4" s="142"/>
      <c r="B4" s="12"/>
      <c r="C4" s="12"/>
      <c r="D4" s="96"/>
      <c r="E4" s="12"/>
      <c r="F4" s="12"/>
      <c r="G4" s="96"/>
      <c r="H4" s="12"/>
      <c r="I4" s="12"/>
      <c r="J4" s="96"/>
    </row>
    <row r="5" spans="1:12">
      <c r="A5" s="108" t="s">
        <v>103</v>
      </c>
      <c r="B5" s="99">
        <f t="shared" ref="B5:J5" si="0">B6+B7</f>
        <v>3</v>
      </c>
      <c r="C5" s="99"/>
      <c r="D5" s="100">
        <f t="shared" si="0"/>
        <v>3</v>
      </c>
      <c r="E5" s="99"/>
      <c r="F5" s="99"/>
      <c r="G5" s="100"/>
      <c r="H5" s="99">
        <f t="shared" si="0"/>
        <v>3</v>
      </c>
      <c r="I5" s="99"/>
      <c r="J5" s="100">
        <f t="shared" si="0"/>
        <v>3</v>
      </c>
      <c r="L5" s="78"/>
    </row>
    <row r="6" spans="1:12">
      <c r="A6" s="108" t="s">
        <v>65</v>
      </c>
      <c r="B6" s="244">
        <v>2.4166666666666665</v>
      </c>
      <c r="C6" s="244"/>
      <c r="D6" s="128">
        <f>B6+C6</f>
        <v>2.4166666666666665</v>
      </c>
      <c r="E6" s="244"/>
      <c r="F6" s="244"/>
      <c r="G6" s="128"/>
      <c r="H6" s="80">
        <f>B6+E6</f>
        <v>2.4166666666666665</v>
      </c>
      <c r="I6" s="80"/>
      <c r="J6" s="128">
        <f>H6+I6</f>
        <v>2.4166666666666665</v>
      </c>
    </row>
    <row r="7" spans="1:12">
      <c r="A7" s="108" t="s">
        <v>66</v>
      </c>
      <c r="B7" s="244">
        <v>0.58333333333333337</v>
      </c>
      <c r="C7" s="244"/>
      <c r="D7" s="128">
        <f>B7+C7</f>
        <v>0.58333333333333337</v>
      </c>
      <c r="E7" s="244"/>
      <c r="F7" s="244"/>
      <c r="G7" s="128"/>
      <c r="H7" s="80">
        <f>B7+E7</f>
        <v>0.58333333333333337</v>
      </c>
      <c r="I7" s="80"/>
      <c r="J7" s="128">
        <f>H7+I7</f>
        <v>0.58333333333333337</v>
      </c>
    </row>
    <row r="8" spans="1:12">
      <c r="A8" s="108"/>
      <c r="B8" s="127"/>
      <c r="C8" s="127"/>
      <c r="D8" s="128"/>
      <c r="E8" s="127"/>
      <c r="F8" s="127"/>
      <c r="G8" s="128"/>
      <c r="H8" s="127"/>
      <c r="I8" s="127"/>
      <c r="J8" s="128"/>
    </row>
    <row r="9" spans="1:12">
      <c r="A9" s="108" t="s">
        <v>104</v>
      </c>
      <c r="B9" s="95"/>
      <c r="D9" s="96"/>
      <c r="E9" s="95"/>
      <c r="F9" s="95"/>
      <c r="G9" s="96"/>
      <c r="H9" s="95"/>
      <c r="I9" s="95"/>
      <c r="J9" s="96"/>
    </row>
    <row r="10" spans="1:12">
      <c r="A10" s="108" t="s">
        <v>9</v>
      </c>
      <c r="B10" s="99">
        <f t="shared" ref="B10:J10" si="1">B11+B12</f>
        <v>3</v>
      </c>
      <c r="C10" s="99"/>
      <c r="D10" s="100">
        <f t="shared" si="1"/>
        <v>3</v>
      </c>
      <c r="E10" s="99"/>
      <c r="F10" s="99"/>
      <c r="G10" s="100"/>
      <c r="H10" s="99">
        <f t="shared" si="1"/>
        <v>3</v>
      </c>
      <c r="I10" s="99"/>
      <c r="J10" s="100">
        <f t="shared" si="1"/>
        <v>3</v>
      </c>
      <c r="L10" s="78"/>
    </row>
    <row r="11" spans="1:12">
      <c r="A11" s="108" t="s">
        <v>65</v>
      </c>
      <c r="B11" s="244">
        <v>2.4166666666666665</v>
      </c>
      <c r="C11" s="244"/>
      <c r="D11" s="128">
        <f t="shared" ref="D11:D12" si="2">B11+C11</f>
        <v>2.4166666666666665</v>
      </c>
      <c r="E11" s="244"/>
      <c r="F11" s="244"/>
      <c r="G11" s="128"/>
      <c r="H11" s="80">
        <f>B11+E11</f>
        <v>2.4166666666666665</v>
      </c>
      <c r="I11" s="80"/>
      <c r="J11" s="128">
        <f>H11+I11</f>
        <v>2.4166666666666665</v>
      </c>
    </row>
    <row r="12" spans="1:12">
      <c r="A12" s="108" t="s">
        <v>66</v>
      </c>
      <c r="B12" s="244">
        <v>0.58333333333333337</v>
      </c>
      <c r="C12" s="244"/>
      <c r="D12" s="128">
        <f t="shared" si="2"/>
        <v>0.58333333333333337</v>
      </c>
      <c r="E12" s="244"/>
      <c r="F12" s="244"/>
      <c r="G12" s="128"/>
      <c r="H12" s="80">
        <f>B12+E12</f>
        <v>0.58333333333333337</v>
      </c>
      <c r="I12" s="80"/>
      <c r="J12" s="128">
        <f>H12+I12</f>
        <v>0.58333333333333337</v>
      </c>
    </row>
    <row r="13" spans="1:12">
      <c r="A13" s="108"/>
      <c r="B13" s="80"/>
      <c r="C13" s="80"/>
      <c r="D13" s="128"/>
      <c r="E13" s="80"/>
      <c r="F13" s="80"/>
      <c r="G13" s="128"/>
      <c r="H13" s="99"/>
      <c r="I13" s="99"/>
      <c r="J13" s="100"/>
    </row>
    <row r="14" spans="1:12">
      <c r="A14" s="108" t="s">
        <v>75</v>
      </c>
      <c r="B14" s="80">
        <f>B15+B16</f>
        <v>0</v>
      </c>
      <c r="C14" s="80"/>
      <c r="D14" s="77">
        <f t="shared" ref="D14:J14" si="3">D15+D16</f>
        <v>0</v>
      </c>
      <c r="E14" s="80"/>
      <c r="F14" s="80"/>
      <c r="G14" s="77"/>
      <c r="H14" s="80">
        <f t="shared" si="3"/>
        <v>0</v>
      </c>
      <c r="I14" s="80"/>
      <c r="J14" s="77">
        <f t="shared" si="3"/>
        <v>0</v>
      </c>
    </row>
    <row r="15" spans="1:12">
      <c r="A15" s="108" t="s">
        <v>65</v>
      </c>
      <c r="B15" s="80">
        <v>0</v>
      </c>
      <c r="C15" s="80"/>
      <c r="D15" s="77">
        <f>B15+C15</f>
        <v>0</v>
      </c>
      <c r="E15" s="80"/>
      <c r="F15" s="80"/>
      <c r="G15" s="77"/>
      <c r="H15" s="80">
        <f>B15+E15</f>
        <v>0</v>
      </c>
      <c r="I15" s="80"/>
      <c r="J15" s="77">
        <f>H15+I15</f>
        <v>0</v>
      </c>
    </row>
    <row r="16" spans="1:12">
      <c r="A16" s="108" t="s">
        <v>66</v>
      </c>
      <c r="B16" s="80">
        <v>0</v>
      </c>
      <c r="C16" s="80"/>
      <c r="D16" s="77">
        <f>B16+C16</f>
        <v>0</v>
      </c>
      <c r="E16" s="80"/>
      <c r="F16" s="80"/>
      <c r="G16" s="77"/>
      <c r="H16" s="80">
        <f>B16+E16</f>
        <v>0</v>
      </c>
      <c r="I16" s="80"/>
      <c r="J16" s="77">
        <f>H16+I16</f>
        <v>0</v>
      </c>
    </row>
    <row r="17" spans="1:15">
      <c r="A17" s="109"/>
      <c r="B17" s="80"/>
      <c r="C17" s="80"/>
      <c r="D17" s="77"/>
      <c r="E17" s="80"/>
      <c r="F17" s="80"/>
      <c r="G17" s="77"/>
      <c r="H17" s="80"/>
      <c r="I17" s="80"/>
      <c r="J17" s="77"/>
    </row>
    <row r="18" spans="1:15">
      <c r="A18" s="108" t="s">
        <v>10</v>
      </c>
      <c r="B18" s="80"/>
      <c r="C18" s="80"/>
      <c r="D18" s="77"/>
      <c r="E18" s="80"/>
      <c r="F18" s="80"/>
      <c r="G18" s="77"/>
      <c r="H18" s="80"/>
      <c r="I18" s="80"/>
      <c r="J18" s="77"/>
    </row>
    <row r="19" spans="1:15">
      <c r="A19" s="107" t="s">
        <v>140</v>
      </c>
      <c r="B19" s="80">
        <f>B20+B21</f>
        <v>4.4999999999999998E-2</v>
      </c>
      <c r="C19" s="80"/>
      <c r="D19" s="77">
        <f t="shared" ref="D19:J19" si="4">D20+D21</f>
        <v>4.4999999999999998E-2</v>
      </c>
      <c r="E19" s="80"/>
      <c r="F19" s="80"/>
      <c r="G19" s="77"/>
      <c r="H19" s="80">
        <f t="shared" si="4"/>
        <v>4.4999999999999998E-2</v>
      </c>
      <c r="I19" s="80"/>
      <c r="J19" s="77">
        <f t="shared" si="4"/>
        <v>4.4999999999999998E-2</v>
      </c>
    </row>
    <row r="20" spans="1:15">
      <c r="A20" s="108" t="s">
        <v>65</v>
      </c>
      <c r="B20" s="80">
        <f>B11*0.015</f>
        <v>3.6249999999999998E-2</v>
      </c>
      <c r="C20" s="80"/>
      <c r="D20" s="77">
        <f>B20+C20</f>
        <v>3.6249999999999998E-2</v>
      </c>
      <c r="E20" s="80"/>
      <c r="F20" s="80"/>
      <c r="G20" s="77"/>
      <c r="H20" s="80">
        <f>H11*0.015</f>
        <v>3.6249999999999998E-2</v>
      </c>
      <c r="I20" s="80"/>
      <c r="J20" s="77">
        <f>H20+I20</f>
        <v>3.6249999999999998E-2</v>
      </c>
    </row>
    <row r="21" spans="1:15">
      <c r="A21" s="108" t="s">
        <v>66</v>
      </c>
      <c r="B21" s="80">
        <f>B12*0.015</f>
        <v>8.7500000000000008E-3</v>
      </c>
      <c r="C21" s="80"/>
      <c r="D21" s="77">
        <f>B21+C21</f>
        <v>8.7500000000000008E-3</v>
      </c>
      <c r="E21" s="80"/>
      <c r="F21" s="80"/>
      <c r="G21" s="77"/>
      <c r="H21" s="80">
        <f>H12*0.015</f>
        <v>8.7500000000000008E-3</v>
      </c>
      <c r="I21" s="80"/>
      <c r="J21" s="77">
        <f>H21+I21</f>
        <v>8.7500000000000008E-3</v>
      </c>
    </row>
    <row r="22" spans="1:15">
      <c r="A22" s="108"/>
      <c r="B22" s="80"/>
      <c r="C22" s="80"/>
      <c r="D22" s="77"/>
      <c r="E22" s="80"/>
      <c r="F22" s="80"/>
      <c r="G22" s="77"/>
      <c r="H22" s="80"/>
      <c r="I22" s="80"/>
      <c r="J22" s="77"/>
    </row>
    <row r="23" spans="1:15">
      <c r="A23" s="108" t="s">
        <v>11</v>
      </c>
      <c r="B23" s="80">
        <f>B14+B19</f>
        <v>4.4999999999999998E-2</v>
      </c>
      <c r="C23" s="80"/>
      <c r="D23" s="77">
        <f t="shared" ref="D23:J23" si="5">D14+D19</f>
        <v>4.4999999999999998E-2</v>
      </c>
      <c r="E23" s="80"/>
      <c r="F23" s="80"/>
      <c r="G23" s="77"/>
      <c r="H23" s="80">
        <f t="shared" si="5"/>
        <v>4.4999999999999998E-2</v>
      </c>
      <c r="I23" s="80"/>
      <c r="J23" s="77">
        <f t="shared" si="5"/>
        <v>4.4999999999999998E-2</v>
      </c>
    </row>
    <row r="24" spans="1:15">
      <c r="A24" s="108" t="s">
        <v>65</v>
      </c>
      <c r="B24" s="80">
        <f t="shared" ref="B24:J25" si="6">B15+B20</f>
        <v>3.6249999999999998E-2</v>
      </c>
      <c r="C24" s="80"/>
      <c r="D24" s="77">
        <f t="shared" si="6"/>
        <v>3.6249999999999998E-2</v>
      </c>
      <c r="E24" s="80"/>
      <c r="F24" s="80"/>
      <c r="G24" s="77"/>
      <c r="H24" s="80">
        <f t="shared" si="6"/>
        <v>3.6249999999999998E-2</v>
      </c>
      <c r="I24" s="80"/>
      <c r="J24" s="77">
        <f t="shared" si="6"/>
        <v>3.6249999999999998E-2</v>
      </c>
    </row>
    <row r="25" spans="1:15">
      <c r="A25" s="108" t="s">
        <v>66</v>
      </c>
      <c r="B25" s="80">
        <f t="shared" si="6"/>
        <v>8.7500000000000008E-3</v>
      </c>
      <c r="C25" s="80"/>
      <c r="D25" s="77">
        <f t="shared" si="6"/>
        <v>8.7500000000000008E-3</v>
      </c>
      <c r="E25" s="80"/>
      <c r="F25" s="80"/>
      <c r="G25" s="77"/>
      <c r="H25" s="80">
        <f t="shared" si="6"/>
        <v>8.7500000000000008E-3</v>
      </c>
      <c r="I25" s="80"/>
      <c r="J25" s="77">
        <f t="shared" si="6"/>
        <v>8.7500000000000008E-3</v>
      </c>
    </row>
    <row r="26" spans="1:15" ht="13.5" thickBot="1">
      <c r="A26" s="144"/>
      <c r="B26" s="65"/>
      <c r="C26" s="65"/>
      <c r="D26" s="104"/>
      <c r="E26" s="65"/>
      <c r="F26" s="65"/>
      <c r="G26" s="104"/>
      <c r="H26" s="65"/>
      <c r="I26" s="65"/>
      <c r="J26" s="104"/>
    </row>
    <row r="27" spans="1:15">
      <c r="A27" s="176"/>
      <c r="B27" s="177"/>
      <c r="C27" s="177"/>
      <c r="D27" s="177"/>
      <c r="E27" s="177"/>
      <c r="F27" s="177"/>
      <c r="G27" s="177"/>
      <c r="H27" s="177"/>
      <c r="I27" s="177"/>
      <c r="J27" s="178"/>
    </row>
    <row r="28" spans="1:15">
      <c r="A28" s="179" t="s">
        <v>74</v>
      </c>
      <c r="B28" s="21"/>
      <c r="C28" s="21"/>
      <c r="D28" s="21"/>
      <c r="E28" s="21"/>
      <c r="F28" s="21"/>
      <c r="G28" s="21"/>
      <c r="H28" s="21"/>
      <c r="I28" s="21"/>
      <c r="J28" s="22"/>
      <c r="K28" s="136"/>
      <c r="L28" s="136"/>
      <c r="M28" s="136"/>
      <c r="N28" s="136"/>
      <c r="O28" s="136"/>
    </row>
    <row r="29" spans="1:15">
      <c r="A29" s="186" t="s">
        <v>105</v>
      </c>
      <c r="B29" s="21"/>
      <c r="C29" s="21"/>
      <c r="D29" s="21"/>
      <c r="E29" s="21"/>
      <c r="F29" s="21"/>
      <c r="G29" s="21"/>
      <c r="H29" s="21"/>
      <c r="I29" s="21"/>
      <c r="J29" s="22"/>
      <c r="K29" s="136"/>
      <c r="L29" s="136"/>
      <c r="M29" s="136"/>
      <c r="N29" s="136"/>
      <c r="O29" s="136"/>
    </row>
    <row r="30" spans="1:15" ht="13.5" thickBot="1">
      <c r="A30" s="169" t="s">
        <v>108</v>
      </c>
      <c r="B30" s="103"/>
      <c r="C30" s="103"/>
      <c r="D30" s="103"/>
      <c r="E30" s="103"/>
      <c r="F30" s="103"/>
      <c r="G30" s="103"/>
      <c r="H30" s="103"/>
      <c r="I30" s="103"/>
      <c r="J30" s="104"/>
      <c r="K30" s="136"/>
      <c r="L30" s="136"/>
      <c r="M30" s="136"/>
      <c r="N30" s="136"/>
      <c r="O30" s="136"/>
    </row>
    <row r="31" spans="1:15">
      <c r="A31" s="60"/>
      <c r="B31" s="25"/>
      <c r="C31" s="25"/>
      <c r="D31" s="95"/>
      <c r="E31" s="25"/>
      <c r="F31" s="25"/>
      <c r="G31" s="95"/>
      <c r="H31" s="25"/>
      <c r="I31" s="25"/>
      <c r="J31" s="95"/>
    </row>
    <row r="32" spans="1:15">
      <c r="A32" s="60"/>
      <c r="B32" s="25"/>
      <c r="C32" s="25"/>
      <c r="D32" s="25"/>
      <c r="E32" s="25"/>
      <c r="F32" s="25"/>
      <c r="G32" s="25"/>
      <c r="H32" s="25"/>
      <c r="I32" s="25"/>
      <c r="J32" s="25"/>
    </row>
    <row r="33" spans="1:10">
      <c r="A33" s="60"/>
      <c r="B33" s="25"/>
      <c r="C33" s="25"/>
      <c r="D33" s="25"/>
      <c r="E33" s="25"/>
      <c r="F33" s="25"/>
      <c r="G33" s="25"/>
      <c r="H33" s="25"/>
      <c r="I33" s="25"/>
      <c r="J33" s="25"/>
    </row>
    <row r="34" spans="1:10">
      <c r="A34" s="61"/>
      <c r="B34" s="23"/>
      <c r="C34" s="23"/>
      <c r="D34" s="95"/>
      <c r="E34" s="23"/>
      <c r="F34" s="23"/>
      <c r="G34" s="95"/>
      <c r="H34" s="23"/>
      <c r="I34" s="23"/>
      <c r="J34" s="95"/>
    </row>
    <row r="35" spans="1:10">
      <c r="A35" s="61"/>
      <c r="B35" s="23"/>
      <c r="C35" s="23"/>
      <c r="D35" s="23"/>
      <c r="E35" s="23"/>
      <c r="F35" s="23"/>
      <c r="G35" s="23"/>
      <c r="H35" s="23"/>
      <c r="I35" s="23"/>
      <c r="J35" s="23"/>
    </row>
    <row r="36" spans="1:10">
      <c r="A36" s="62"/>
      <c r="B36" s="23"/>
      <c r="C36" s="23"/>
      <c r="D36" s="23"/>
      <c r="E36" s="23"/>
      <c r="F36" s="23"/>
      <c r="G36" s="23"/>
      <c r="H36" s="23"/>
      <c r="I36" s="23"/>
      <c r="J36" s="23"/>
    </row>
    <row r="37" spans="1:10">
      <c r="A37" s="60"/>
      <c r="B37" s="23"/>
      <c r="C37" s="23"/>
      <c r="D37" s="95"/>
      <c r="E37" s="23"/>
      <c r="F37" s="23"/>
      <c r="G37" s="95"/>
      <c r="H37" s="23"/>
      <c r="I37" s="23"/>
      <c r="J37" s="95"/>
    </row>
    <row r="38" spans="1:10">
      <c r="A38" s="62"/>
      <c r="B38" s="63"/>
      <c r="C38" s="63"/>
      <c r="D38" s="95"/>
      <c r="E38" s="63"/>
      <c r="F38" s="63"/>
      <c r="G38" s="95"/>
      <c r="H38" s="63"/>
      <c r="I38" s="63"/>
      <c r="J38" s="95"/>
    </row>
    <row r="39" spans="1:10">
      <c r="A39" s="95"/>
      <c r="B39" s="63"/>
      <c r="C39" s="63"/>
      <c r="D39" s="95"/>
      <c r="E39" s="95"/>
      <c r="F39" s="95"/>
      <c r="G39" s="95"/>
      <c r="H39" s="95"/>
      <c r="I39" s="95"/>
      <c r="J39" s="95"/>
    </row>
    <row r="41" spans="1:10">
      <c r="A41" s="1" t="s">
        <v>12</v>
      </c>
    </row>
    <row r="49" spans="1:1">
      <c r="A49" s="30"/>
    </row>
    <row r="61" spans="1:1">
      <c r="A61" s="30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50"/>
  <sheetViews>
    <sheetView topLeftCell="A2" zoomScaleNormal="100" workbookViewId="0">
      <selection activeCell="B43" sqref="B43"/>
    </sheetView>
  </sheetViews>
  <sheetFormatPr defaultColWidth="9.140625" defaultRowHeight="12.75"/>
  <cols>
    <col min="1" max="1" width="50.7109375" style="1" customWidth="1"/>
    <col min="2" max="2" width="40.7109375" style="1" customWidth="1"/>
    <col min="3" max="16384" width="9.140625" style="1"/>
  </cols>
  <sheetData>
    <row r="1" spans="1:2" ht="18.75" thickBot="1">
      <c r="A1" s="351" t="s">
        <v>97</v>
      </c>
      <c r="B1" s="351"/>
    </row>
    <row r="2" spans="1:2">
      <c r="A2" s="2"/>
      <c r="B2" s="4"/>
    </row>
    <row r="3" spans="1:2" ht="13.5" thickBot="1">
      <c r="A3" s="5" t="s">
        <v>0</v>
      </c>
      <c r="B3" s="7" t="s">
        <v>54</v>
      </c>
    </row>
    <row r="4" spans="1:2">
      <c r="A4" s="8"/>
      <c r="B4" s="10"/>
    </row>
    <row r="5" spans="1:2">
      <c r="A5" s="11"/>
      <c r="B5" s="13"/>
    </row>
    <row r="6" spans="1:2">
      <c r="A6" s="11" t="s">
        <v>103</v>
      </c>
      <c r="B6" s="243">
        <v>103</v>
      </c>
    </row>
    <row r="7" spans="1:2">
      <c r="A7" s="11"/>
      <c r="B7" s="243"/>
    </row>
    <row r="8" spans="1:2">
      <c r="A8" s="11" t="s">
        <v>104</v>
      </c>
      <c r="B8" s="243">
        <v>103</v>
      </c>
    </row>
    <row r="9" spans="1:2">
      <c r="A9" s="11" t="s">
        <v>9</v>
      </c>
      <c r="B9" s="243"/>
    </row>
    <row r="10" spans="1:2">
      <c r="A10" s="11"/>
      <c r="B10" s="14"/>
    </row>
    <row r="11" spans="1:2">
      <c r="A11" s="11" t="s">
        <v>75</v>
      </c>
      <c r="B11" s="14">
        <v>0</v>
      </c>
    </row>
    <row r="12" spans="1:2">
      <c r="A12" s="19"/>
      <c r="B12" s="14"/>
    </row>
    <row r="13" spans="1:2">
      <c r="A13" s="11" t="s">
        <v>10</v>
      </c>
      <c r="B13" s="14">
        <f>0.015*B8</f>
        <v>1.5449999999999999</v>
      </c>
    </row>
    <row r="14" spans="1:2">
      <c r="A14" s="20" t="s">
        <v>140</v>
      </c>
      <c r="B14" s="14"/>
    </row>
    <row r="15" spans="1:2">
      <c r="A15" s="11"/>
      <c r="B15" s="14"/>
    </row>
    <row r="16" spans="1:2">
      <c r="A16" s="11" t="s">
        <v>11</v>
      </c>
      <c r="B16" s="14">
        <f>B11+B13</f>
        <v>1.5449999999999999</v>
      </c>
    </row>
    <row r="17" spans="1:8" ht="13.5" thickBot="1">
      <c r="A17" s="64"/>
      <c r="B17" s="330"/>
    </row>
    <row r="18" spans="1:8">
      <c r="A18" s="176"/>
      <c r="B18" s="178"/>
    </row>
    <row r="19" spans="1:8">
      <c r="A19" s="186" t="s">
        <v>109</v>
      </c>
      <c r="B19" s="188"/>
      <c r="C19" s="187"/>
      <c r="D19" s="187"/>
      <c r="E19" s="187"/>
      <c r="F19" s="187"/>
      <c r="G19" s="187"/>
      <c r="H19" s="187"/>
    </row>
    <row r="20" spans="1:8" ht="13.5" thickBot="1">
      <c r="A20" s="189" t="s">
        <v>110</v>
      </c>
      <c r="B20" s="190"/>
      <c r="C20" s="187"/>
      <c r="D20" s="187"/>
      <c r="E20" s="187"/>
      <c r="F20" s="187"/>
      <c r="G20" s="187"/>
      <c r="H20" s="187"/>
    </row>
    <row r="21" spans="1:8">
      <c r="A21" s="60"/>
      <c r="B21" s="23"/>
    </row>
    <row r="22" spans="1:8">
      <c r="A22" s="60"/>
      <c r="B22" s="23"/>
    </row>
    <row r="23" spans="1:8">
      <c r="A23" s="60"/>
      <c r="B23" s="23"/>
    </row>
    <row r="24" spans="1:8">
      <c r="A24" s="60"/>
      <c r="B24" s="23"/>
    </row>
    <row r="25" spans="1:8">
      <c r="A25" s="60"/>
      <c r="B25" s="23"/>
    </row>
    <row r="26" spans="1:8">
      <c r="A26" s="60"/>
      <c r="B26" s="23"/>
    </row>
    <row r="27" spans="1:8">
      <c r="A27" s="62"/>
      <c r="B27" s="63"/>
    </row>
    <row r="28" spans="1:8">
      <c r="B28" s="17"/>
    </row>
    <row r="30" spans="1:8">
      <c r="A30" s="1" t="s">
        <v>12</v>
      </c>
    </row>
    <row r="38" spans="1:1">
      <c r="A38" s="30"/>
    </row>
    <row r="50" spans="1:1">
      <c r="A50" s="30"/>
    </row>
  </sheetData>
  <mergeCells count="1">
    <mergeCell ref="A1:B1"/>
  </mergeCells>
  <printOptions horizontalCentered="1"/>
  <pageMargins left="0.75" right="0.75" top="1" bottom="1" header="0.5" footer="0.5"/>
  <pageSetup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D24"/>
  <sheetViews>
    <sheetView zoomScaleNormal="100" workbookViewId="0">
      <selection activeCell="B43" sqref="B43"/>
    </sheetView>
  </sheetViews>
  <sheetFormatPr defaultColWidth="9.140625" defaultRowHeight="12.75"/>
  <cols>
    <col min="1" max="1" width="72.7109375" style="40" customWidth="1"/>
    <col min="2" max="2" width="33.7109375" style="40" customWidth="1"/>
    <col min="3" max="3" width="9.140625" style="40"/>
    <col min="4" max="4" width="9.7109375" style="40" bestFit="1" customWidth="1"/>
    <col min="5" max="16384" width="9.140625" style="40"/>
  </cols>
  <sheetData>
    <row r="1" spans="1:4" s="56" customFormat="1">
      <c r="A1" s="240" t="s">
        <v>28</v>
      </c>
      <c r="B1" s="233"/>
    </row>
    <row r="2" spans="1:4" s="56" customFormat="1">
      <c r="A2" s="197"/>
      <c r="B2" s="234"/>
    </row>
    <row r="3" spans="1:4" s="56" customFormat="1">
      <c r="A3" s="195" t="s">
        <v>29</v>
      </c>
      <c r="B3" s="235">
        <v>2.7723662892949787E-2</v>
      </c>
    </row>
    <row r="4" spans="1:4" s="56" customFormat="1" ht="13.5" thickBot="1">
      <c r="A4" s="57" t="s">
        <v>30</v>
      </c>
      <c r="B4" s="236">
        <v>1.5023E-2</v>
      </c>
    </row>
    <row r="5" spans="1:4" s="56" customFormat="1">
      <c r="A5" s="196"/>
      <c r="B5" s="237"/>
    </row>
    <row r="6" spans="1:4">
      <c r="A6" s="369" t="s">
        <v>20</v>
      </c>
      <c r="B6" s="370"/>
    </row>
    <row r="7" spans="1:4">
      <c r="A7" s="196"/>
      <c r="B7" s="237"/>
    </row>
    <row r="8" spans="1:4">
      <c r="A8" s="241" t="s">
        <v>31</v>
      </c>
      <c r="B8" s="271">
        <v>1.237604174155652</v>
      </c>
    </row>
    <row r="9" spans="1:4">
      <c r="A9" s="241" t="s">
        <v>32</v>
      </c>
      <c r="B9" s="271">
        <v>1.2327432212211764</v>
      </c>
    </row>
    <row r="10" spans="1:4">
      <c r="A10" s="241"/>
      <c r="B10" s="238"/>
    </row>
    <row r="11" spans="1:4">
      <c r="A11" s="241" t="s">
        <v>77</v>
      </c>
      <c r="B11" s="271">
        <v>1.076756352061524</v>
      </c>
    </row>
    <row r="12" spans="1:4">
      <c r="A12" s="241" t="s">
        <v>78</v>
      </c>
      <c r="B12" s="271">
        <v>1.076756352061524</v>
      </c>
    </row>
    <row r="13" spans="1:4" ht="13.5" thickBot="1">
      <c r="A13" s="242" t="s">
        <v>79</v>
      </c>
      <c r="B13" s="316">
        <v>1.076756352061524</v>
      </c>
    </row>
    <row r="14" spans="1:4">
      <c r="A14" s="278"/>
      <c r="B14" s="279"/>
    </row>
    <row r="15" spans="1:4">
      <c r="A15" s="280" t="s">
        <v>112</v>
      </c>
      <c r="B15" s="286">
        <v>4489781.140500363</v>
      </c>
    </row>
    <row r="16" spans="1:4">
      <c r="A16" s="280" t="s">
        <v>100</v>
      </c>
      <c r="B16" s="285">
        <v>1482557.75</v>
      </c>
      <c r="D16" s="283"/>
    </row>
    <row r="17" spans="1:4" ht="13.5" thickBot="1">
      <c r="A17" s="281" t="s">
        <v>101</v>
      </c>
      <c r="B17" s="282">
        <f>B15/B16</f>
        <v>3.0284021924274875</v>
      </c>
      <c r="D17" s="283"/>
    </row>
    <row r="18" spans="1:4">
      <c r="A18" s="58"/>
      <c r="B18" s="239"/>
      <c r="D18" s="283"/>
    </row>
    <row r="19" spans="1:4">
      <c r="A19" s="196" t="s">
        <v>68</v>
      </c>
      <c r="B19" s="164"/>
      <c r="D19" s="284"/>
    </row>
    <row r="20" spans="1:4">
      <c r="A20" s="196" t="s">
        <v>135</v>
      </c>
      <c r="B20" s="164"/>
    </row>
    <row r="21" spans="1:4">
      <c r="A21" s="275" t="s">
        <v>80</v>
      </c>
      <c r="B21" s="276"/>
    </row>
    <row r="22" spans="1:4">
      <c r="A22" s="275" t="s">
        <v>98</v>
      </c>
      <c r="B22" s="164"/>
    </row>
    <row r="23" spans="1:4" ht="13.5" thickBot="1">
      <c r="A23" s="277" t="s">
        <v>99</v>
      </c>
      <c r="B23" s="122"/>
    </row>
    <row r="24" spans="1:4">
      <c r="A24" s="55"/>
      <c r="B24" s="55"/>
    </row>
  </sheetData>
  <mergeCells count="1">
    <mergeCell ref="A6:B6"/>
  </mergeCells>
  <printOptions horizontalCentered="1"/>
  <pageMargins left="0.75" right="0.75" top="1" bottom="1" header="0.5" footer="0.5"/>
  <pageSetup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8"/>
  <sheetViews>
    <sheetView topLeftCell="A25" zoomScale="115" zoomScaleNormal="115" workbookViewId="0">
      <selection activeCell="B43" sqref="B43"/>
    </sheetView>
  </sheetViews>
  <sheetFormatPr defaultColWidth="9.140625" defaultRowHeight="12.75"/>
  <cols>
    <col min="1" max="1" width="55.7109375" style="1" customWidth="1"/>
    <col min="2" max="10" width="12.7109375" style="1" customWidth="1"/>
    <col min="11" max="11" width="12.5703125" style="1" customWidth="1"/>
    <col min="12" max="12" width="12.7109375" style="1" customWidth="1"/>
    <col min="13" max="16384" width="9.140625" style="1"/>
  </cols>
  <sheetData>
    <row r="1" spans="1:12" ht="18.75" thickBot="1">
      <c r="A1" s="351" t="s">
        <v>89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</row>
    <row r="2" spans="1:12">
      <c r="A2" s="297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9"/>
    </row>
    <row r="3" spans="1:12" ht="13.5" thickBot="1">
      <c r="A3" s="5" t="s">
        <v>0</v>
      </c>
      <c r="B3" s="6" t="s">
        <v>1</v>
      </c>
      <c r="C3" s="199" t="s">
        <v>4</v>
      </c>
      <c r="D3" s="199" t="s">
        <v>5</v>
      </c>
      <c r="E3" s="199" t="s">
        <v>6</v>
      </c>
      <c r="F3" s="199" t="s">
        <v>7</v>
      </c>
      <c r="G3" s="199" t="s">
        <v>2</v>
      </c>
      <c r="H3" s="199" t="s">
        <v>102</v>
      </c>
      <c r="I3" s="199" t="s">
        <v>3</v>
      </c>
      <c r="J3" s="199" t="s">
        <v>69</v>
      </c>
      <c r="K3" s="199" t="s">
        <v>23</v>
      </c>
      <c r="L3" s="7" t="s">
        <v>8</v>
      </c>
    </row>
    <row r="4" spans="1:12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0"/>
    </row>
    <row r="5" spans="1:12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3"/>
    </row>
    <row r="6" spans="1:12">
      <c r="A6" s="11" t="s">
        <v>13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4"/>
    </row>
    <row r="7" spans="1:12">
      <c r="A7" s="31"/>
      <c r="B7" s="23"/>
      <c r="C7" s="23"/>
      <c r="D7" s="23"/>
      <c r="E7" s="23"/>
      <c r="F7" s="23"/>
      <c r="G7" s="23"/>
      <c r="H7" s="23"/>
      <c r="I7" s="23"/>
      <c r="J7" s="23"/>
      <c r="K7" s="23"/>
      <c r="L7" s="24"/>
    </row>
    <row r="8" spans="1:12">
      <c r="A8" s="11" t="s">
        <v>14</v>
      </c>
      <c r="B8" s="204">
        <v>1464.5655162551914</v>
      </c>
      <c r="C8" s="204"/>
      <c r="D8" s="204"/>
      <c r="E8" s="204"/>
      <c r="F8" s="204"/>
      <c r="G8" s="204"/>
      <c r="H8" s="204"/>
      <c r="I8" s="204"/>
      <c r="J8" s="204"/>
      <c r="K8" s="204"/>
      <c r="L8" s="205">
        <v>1464.5655162551914</v>
      </c>
    </row>
    <row r="9" spans="1:12">
      <c r="A9" s="11" t="s">
        <v>15</v>
      </c>
      <c r="B9" s="204">
        <v>231.92979208072407</v>
      </c>
      <c r="C9" s="204"/>
      <c r="D9" s="204"/>
      <c r="E9" s="204"/>
      <c r="F9" s="204"/>
      <c r="G9" s="204"/>
      <c r="H9" s="204"/>
      <c r="I9" s="204"/>
      <c r="J9" s="204"/>
      <c r="K9" s="204"/>
      <c r="L9" s="205">
        <v>231.92979208072407</v>
      </c>
    </row>
    <row r="10" spans="1:12">
      <c r="A10" s="11" t="s">
        <v>16</v>
      </c>
      <c r="B10" s="204">
        <v>267.20949310143357</v>
      </c>
      <c r="C10" s="204"/>
      <c r="D10" s="204"/>
      <c r="E10" s="204"/>
      <c r="F10" s="204"/>
      <c r="G10" s="204"/>
      <c r="H10" s="204"/>
      <c r="I10" s="204"/>
      <c r="J10" s="204"/>
      <c r="K10" s="204"/>
      <c r="L10" s="205">
        <v>267.20949310143357</v>
      </c>
    </row>
    <row r="11" spans="1:12">
      <c r="A11" s="11" t="s">
        <v>83</v>
      </c>
      <c r="B11" s="310">
        <v>212.1975103773606</v>
      </c>
      <c r="C11" s="310"/>
      <c r="D11" s="310"/>
      <c r="E11" s="310"/>
      <c r="F11" s="310"/>
      <c r="G11" s="310"/>
      <c r="H11" s="310"/>
      <c r="I11" s="310"/>
      <c r="J11" s="310"/>
      <c r="K11" s="310"/>
      <c r="L11" s="228">
        <v>212.1975103773606</v>
      </c>
    </row>
    <row r="12" spans="1:12">
      <c r="A12" s="19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3"/>
    </row>
    <row r="13" spans="1:12">
      <c r="A13" s="11" t="s">
        <v>17</v>
      </c>
      <c r="B13" s="32">
        <f t="shared" ref="B13:L13" si="0">SUM(B8:B10)</f>
        <v>1963.704801437349</v>
      </c>
      <c r="C13" s="32"/>
      <c r="D13" s="32"/>
      <c r="E13" s="32"/>
      <c r="F13" s="32"/>
      <c r="G13" s="32"/>
      <c r="H13" s="32"/>
      <c r="I13" s="32"/>
      <c r="J13" s="32"/>
      <c r="K13" s="32"/>
      <c r="L13" s="33">
        <f t="shared" si="0"/>
        <v>1963.704801437349</v>
      </c>
    </row>
    <row r="14" spans="1:12">
      <c r="A14" s="11" t="s">
        <v>82</v>
      </c>
      <c r="B14" s="32">
        <f>B8+B9+B11</f>
        <v>1908.6928187132762</v>
      </c>
      <c r="C14" s="32"/>
      <c r="D14" s="32"/>
      <c r="E14" s="32"/>
      <c r="F14" s="32"/>
      <c r="G14" s="32"/>
      <c r="H14" s="32"/>
      <c r="I14" s="32"/>
      <c r="J14" s="32"/>
      <c r="K14" s="32"/>
      <c r="L14" s="33">
        <f t="shared" ref="L14" si="1">L8+L9+L11</f>
        <v>1908.6928187132762</v>
      </c>
    </row>
    <row r="15" spans="1:12">
      <c r="A15" s="19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>
      <c r="A16" s="46" t="s">
        <v>25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2">
      <c r="A17" s="34">
        <f>Input!B3</f>
        <v>2.7723662892949787E-2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8" spans="1:12">
      <c r="A18" s="46" t="s">
        <v>26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3"/>
    </row>
    <row r="19" spans="1:12">
      <c r="A19" s="34">
        <f>Input!B4</f>
        <v>1.5023E-2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3"/>
    </row>
    <row r="20" spans="1:12">
      <c r="A20" s="11" t="s">
        <v>18</v>
      </c>
      <c r="B20" s="32">
        <f t="shared" ref="B20:L20" si="2">(B8*(1+$A$17)*(1+$A$19))</f>
        <v>1527.7807853448257</v>
      </c>
      <c r="C20" s="32"/>
      <c r="D20" s="32"/>
      <c r="E20" s="32"/>
      <c r="F20" s="32"/>
      <c r="G20" s="32"/>
      <c r="H20" s="32"/>
      <c r="I20" s="32"/>
      <c r="J20" s="32"/>
      <c r="K20" s="32"/>
      <c r="L20" s="33">
        <f t="shared" si="2"/>
        <v>1527.7807853448257</v>
      </c>
    </row>
    <row r="21" spans="1:12">
      <c r="A21" s="11" t="s">
        <v>19</v>
      </c>
      <c r="B21" s="32">
        <f t="shared" ref="B21:L21" si="3">(B9*(1+$A$17)*(1+$A$19))</f>
        <v>241.9406137568854</v>
      </c>
      <c r="C21" s="32"/>
      <c r="D21" s="32"/>
      <c r="E21" s="32"/>
      <c r="F21" s="32"/>
      <c r="G21" s="32"/>
      <c r="H21" s="32"/>
      <c r="I21" s="32"/>
      <c r="J21" s="32"/>
      <c r="K21" s="32"/>
      <c r="L21" s="33">
        <f t="shared" si="3"/>
        <v>241.9406137568854</v>
      </c>
    </row>
    <row r="22" spans="1:12">
      <c r="A22" s="11" t="s">
        <v>16</v>
      </c>
      <c r="B22" s="32">
        <f t="shared" ref="B22:L23" si="4">(B10*(1+$A$17)*(1+$A$19))</f>
        <v>278.74309799806053</v>
      </c>
      <c r="C22" s="32"/>
      <c r="D22" s="32"/>
      <c r="E22" s="32"/>
      <c r="F22" s="32"/>
      <c r="G22" s="32"/>
      <c r="H22" s="32"/>
      <c r="I22" s="32"/>
      <c r="J22" s="32"/>
      <c r="K22" s="32"/>
      <c r="L22" s="33">
        <f t="shared" si="4"/>
        <v>278.74309799806053</v>
      </c>
    </row>
    <row r="23" spans="1:12">
      <c r="A23" s="11" t="s">
        <v>83</v>
      </c>
      <c r="B23" s="32">
        <f t="shared" si="4"/>
        <v>221.35662451037285</v>
      </c>
      <c r="C23" s="32"/>
      <c r="D23" s="32"/>
      <c r="E23" s="32"/>
      <c r="F23" s="32"/>
      <c r="G23" s="32"/>
      <c r="H23" s="32"/>
      <c r="I23" s="32"/>
      <c r="J23" s="32"/>
      <c r="K23" s="32"/>
      <c r="L23" s="33">
        <f t="shared" si="4"/>
        <v>221.35662451037285</v>
      </c>
    </row>
    <row r="24" spans="1:12">
      <c r="A24" s="1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3"/>
    </row>
    <row r="25" spans="1:12">
      <c r="A25" s="11" t="s">
        <v>17</v>
      </c>
      <c r="B25" s="32">
        <f>SUM(B20:B22)</f>
        <v>2048.4644970997715</v>
      </c>
      <c r="C25" s="32"/>
      <c r="D25" s="32"/>
      <c r="E25" s="32"/>
      <c r="F25" s="32"/>
      <c r="G25" s="32"/>
      <c r="H25" s="32"/>
      <c r="I25" s="32"/>
      <c r="J25" s="32"/>
      <c r="K25" s="32"/>
      <c r="L25" s="33">
        <f>SUM(L20:L22)</f>
        <v>2048.4644970997715</v>
      </c>
    </row>
    <row r="26" spans="1:12">
      <c r="A26" s="11" t="s">
        <v>82</v>
      </c>
      <c r="B26" s="32">
        <f>B20+B21+B23</f>
        <v>1991.0780236120841</v>
      </c>
      <c r="C26" s="32"/>
      <c r="D26" s="32"/>
      <c r="E26" s="32"/>
      <c r="F26" s="32"/>
      <c r="G26" s="32"/>
      <c r="H26" s="32"/>
      <c r="I26" s="32"/>
      <c r="J26" s="32"/>
      <c r="K26" s="32"/>
      <c r="L26" s="33">
        <f t="shared" ref="L26" si="5">L20+L21+L23</f>
        <v>1991.0780236120841</v>
      </c>
    </row>
    <row r="27" spans="1:12">
      <c r="A27" s="11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3"/>
    </row>
    <row r="28" spans="1:12">
      <c r="A28" s="20" t="s">
        <v>20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3"/>
    </row>
    <row r="29" spans="1:12">
      <c r="A29" s="20" t="s">
        <v>120</v>
      </c>
      <c r="B29" s="32">
        <f>B20*Input!$B$8</f>
        <v>1890.7878771375565</v>
      </c>
      <c r="C29" s="32"/>
      <c r="D29" s="32"/>
      <c r="E29" s="32"/>
      <c r="F29" s="32"/>
      <c r="G29" s="32"/>
      <c r="H29" s="32"/>
      <c r="I29" s="32"/>
      <c r="J29" s="32"/>
      <c r="K29" s="32"/>
      <c r="L29" s="33">
        <f>L20*Input!$B$8</f>
        <v>1890.7878771375565</v>
      </c>
    </row>
    <row r="30" spans="1:12">
      <c r="A30" s="20" t="s">
        <v>121</v>
      </c>
      <c r="B30" s="32">
        <f>B21*Input!$B$9</f>
        <v>298.25065154689139</v>
      </c>
      <c r="C30" s="32"/>
      <c r="D30" s="32"/>
      <c r="E30" s="32"/>
      <c r="F30" s="32"/>
      <c r="G30" s="32"/>
      <c r="H30" s="32"/>
      <c r="I30" s="32"/>
      <c r="J30" s="32"/>
      <c r="K30" s="32"/>
      <c r="L30" s="33">
        <f>L21*Input!$B$9</f>
        <v>298.25065154689139</v>
      </c>
    </row>
    <row r="31" spans="1:12">
      <c r="A31" s="20" t="s">
        <v>136</v>
      </c>
      <c r="B31" s="32">
        <f>B22*Input!$B$13</f>
        <v>300.13840136271955</v>
      </c>
      <c r="C31" s="32"/>
      <c r="D31" s="32"/>
      <c r="E31" s="32"/>
      <c r="F31" s="32"/>
      <c r="G31" s="32"/>
      <c r="H31" s="32"/>
      <c r="I31" s="32"/>
      <c r="J31" s="32"/>
      <c r="K31" s="32"/>
      <c r="L31" s="33">
        <f>L22*Input!$B$13</f>
        <v>300.13840136271955</v>
      </c>
    </row>
    <row r="32" spans="1:12">
      <c r="A32" s="20" t="s">
        <v>137</v>
      </c>
      <c r="B32" s="32">
        <f>B23*Input!$B$13</f>
        <v>238.3471515124416</v>
      </c>
      <c r="C32" s="32"/>
      <c r="D32" s="32"/>
      <c r="E32" s="32"/>
      <c r="F32" s="32"/>
      <c r="G32" s="32"/>
      <c r="H32" s="32"/>
      <c r="I32" s="32"/>
      <c r="J32" s="32"/>
      <c r="K32" s="32"/>
      <c r="L32" s="33">
        <f>L23*Input!$B$13</f>
        <v>238.3471515124416</v>
      </c>
    </row>
    <row r="33" spans="1:12">
      <c r="A33" s="11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3"/>
    </row>
    <row r="34" spans="1:12">
      <c r="A34" s="11" t="s">
        <v>17</v>
      </c>
      <c r="B34" s="32">
        <f t="shared" ref="B34:L34" si="6">SUM(B29:B31)</f>
        <v>2489.1769300471674</v>
      </c>
      <c r="C34" s="32"/>
      <c r="D34" s="32"/>
      <c r="E34" s="32"/>
      <c r="F34" s="32"/>
      <c r="G34" s="32"/>
      <c r="H34" s="32"/>
      <c r="I34" s="32"/>
      <c r="J34" s="32"/>
      <c r="K34" s="32"/>
      <c r="L34" s="33">
        <f t="shared" si="6"/>
        <v>2489.1769300471674</v>
      </c>
    </row>
    <row r="35" spans="1:12">
      <c r="A35" s="11" t="s">
        <v>82</v>
      </c>
      <c r="B35" s="32">
        <f>B29+B30+B32</f>
        <v>2427.3856801968896</v>
      </c>
      <c r="C35" s="32"/>
      <c r="D35" s="32"/>
      <c r="E35" s="32"/>
      <c r="F35" s="32"/>
      <c r="G35" s="32"/>
      <c r="H35" s="32"/>
      <c r="I35" s="32"/>
      <c r="J35" s="32"/>
      <c r="K35" s="32"/>
      <c r="L35" s="33">
        <f t="shared" ref="L35" si="7">L29+L30+L32</f>
        <v>2427.3856801968896</v>
      </c>
    </row>
    <row r="36" spans="1:12">
      <c r="A36" s="20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6"/>
    </row>
    <row r="37" spans="1:12">
      <c r="A37" s="11" t="s">
        <v>113</v>
      </c>
      <c r="B37" s="32">
        <f>'NCO Res Cust Fcst'!B8</f>
        <v>1</v>
      </c>
      <c r="C37" s="37"/>
      <c r="D37" s="37"/>
      <c r="E37" s="37"/>
      <c r="F37" s="37"/>
      <c r="G37" s="37"/>
      <c r="H37" s="37"/>
      <c r="I37" s="37"/>
      <c r="J37" s="37"/>
      <c r="K37" s="37"/>
      <c r="L37" s="38">
        <f>'NCO Res Cust Fcst'!K8</f>
        <v>1</v>
      </c>
    </row>
    <row r="38" spans="1:12">
      <c r="A38" s="20" t="s">
        <v>84</v>
      </c>
      <c r="B38" s="32">
        <f>'NCO Res Cust Fcst'!B11</f>
        <v>7.0197789799611454E-4</v>
      </c>
      <c r="C38" s="37"/>
      <c r="D38" s="37"/>
      <c r="E38" s="37"/>
      <c r="F38" s="37"/>
      <c r="G38" s="37"/>
      <c r="H38" s="37"/>
      <c r="I38" s="37"/>
      <c r="J38" s="37"/>
      <c r="K38" s="37"/>
      <c r="L38" s="38">
        <f>'NCO Res Cust Fcst'!K11</f>
        <v>7.0197789799611454E-4</v>
      </c>
    </row>
    <row r="39" spans="1:12">
      <c r="A39" s="20" t="s">
        <v>85</v>
      </c>
      <c r="B39" s="32">
        <f>'NCO Res Cust Fcst'!B13</f>
        <v>1.4999999999999999E-2</v>
      </c>
      <c r="C39" s="37"/>
      <c r="D39" s="37"/>
      <c r="E39" s="37"/>
      <c r="F39" s="37"/>
      <c r="G39" s="37"/>
      <c r="H39" s="37"/>
      <c r="I39" s="37"/>
      <c r="J39" s="37"/>
      <c r="K39" s="37"/>
      <c r="L39" s="38">
        <f>'NCO Res Cust Fcst'!K13</f>
        <v>1.4999999999999999E-2</v>
      </c>
    </row>
    <row r="40" spans="1:12">
      <c r="A40" s="11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6"/>
    </row>
    <row r="41" spans="1:12">
      <c r="A41" s="11" t="s">
        <v>114</v>
      </c>
      <c r="B41" s="32">
        <f>(B34*B38+B35*B39)/B37</f>
        <v>38.158132392048273</v>
      </c>
      <c r="C41" s="32"/>
      <c r="D41" s="32"/>
      <c r="E41" s="32"/>
      <c r="F41" s="32"/>
      <c r="G41" s="32"/>
      <c r="H41" s="32"/>
      <c r="I41" s="32"/>
      <c r="J41" s="32"/>
      <c r="K41" s="32"/>
      <c r="L41" s="33">
        <f t="shared" ref="L41" si="8">(L34*L38+L35*L39)/L37</f>
        <v>38.158132392048273</v>
      </c>
    </row>
    <row r="42" spans="1:12">
      <c r="A42" s="1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3"/>
    </row>
    <row r="43" spans="1:12">
      <c r="A43" s="39" t="s">
        <v>21</v>
      </c>
      <c r="B43" s="200">
        <v>15.808347764322376</v>
      </c>
      <c r="C43" s="200"/>
      <c r="D43" s="200"/>
      <c r="E43" s="200"/>
      <c r="F43" s="200"/>
      <c r="G43" s="200"/>
      <c r="H43" s="200"/>
      <c r="I43" s="200"/>
      <c r="J43" s="200"/>
      <c r="K43" s="200"/>
      <c r="L43" s="201">
        <v>15.808347764322376</v>
      </c>
    </row>
    <row r="44" spans="1:12">
      <c r="A44" s="39" t="s">
        <v>81</v>
      </c>
      <c r="B44" s="200">
        <v>-3.0284021924274875</v>
      </c>
      <c r="C44" s="200"/>
      <c r="D44" s="200"/>
      <c r="E44" s="200"/>
      <c r="F44" s="200"/>
      <c r="G44" s="200"/>
      <c r="H44" s="200"/>
      <c r="I44" s="200"/>
      <c r="J44" s="200"/>
      <c r="K44" s="200"/>
      <c r="L44" s="201">
        <v>-3.0284021924274875</v>
      </c>
    </row>
    <row r="45" spans="1:12">
      <c r="A45" s="39" t="s">
        <v>22</v>
      </c>
      <c r="B45" s="202">
        <v>28.478866312568123</v>
      </c>
      <c r="C45" s="202"/>
      <c r="D45" s="202"/>
      <c r="E45" s="202"/>
      <c r="F45" s="202"/>
      <c r="G45" s="202"/>
      <c r="H45" s="202"/>
      <c r="I45" s="202"/>
      <c r="J45" s="202"/>
      <c r="K45" s="202"/>
      <c r="L45" s="203">
        <v>28.478866312568123</v>
      </c>
    </row>
    <row r="46" spans="1:12">
      <c r="A46" s="11" t="s">
        <v>115</v>
      </c>
      <c r="B46" s="32">
        <f>B43+B44+B45</f>
        <v>41.258811884463015</v>
      </c>
      <c r="C46" s="32"/>
      <c r="D46" s="32"/>
      <c r="E46" s="32"/>
      <c r="F46" s="32"/>
      <c r="G46" s="32"/>
      <c r="H46" s="32"/>
      <c r="I46" s="32"/>
      <c r="J46" s="32"/>
      <c r="K46" s="32"/>
      <c r="L46" s="33">
        <f t="shared" ref="L46" si="9">L43+L44+L45</f>
        <v>41.258811884463015</v>
      </c>
    </row>
    <row r="47" spans="1:12">
      <c r="A47" s="1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3"/>
    </row>
    <row r="48" spans="1:12">
      <c r="A48" s="11" t="s">
        <v>116</v>
      </c>
      <c r="B48" s="32">
        <f t="shared" ref="B48:L48" si="10">B41+B46</f>
        <v>79.416944276511288</v>
      </c>
      <c r="C48" s="32"/>
      <c r="D48" s="32"/>
      <c r="E48" s="32"/>
      <c r="F48" s="32"/>
      <c r="G48" s="32"/>
      <c r="H48" s="32"/>
      <c r="I48" s="32"/>
      <c r="J48" s="32"/>
      <c r="K48" s="32"/>
      <c r="L48" s="33">
        <f t="shared" si="10"/>
        <v>79.416944276511288</v>
      </c>
    </row>
    <row r="49" spans="1:12" ht="13.5" thickBot="1">
      <c r="A49" s="27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9"/>
    </row>
    <row r="50" spans="1:12">
      <c r="A50" s="193" t="s">
        <v>127</v>
      </c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85"/>
    </row>
    <row r="51" spans="1:12" ht="13.5" thickBot="1">
      <c r="A51" s="169" t="s">
        <v>129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4"/>
    </row>
    <row r="68" spans="1:1">
      <c r="A68" s="30"/>
    </row>
  </sheetData>
  <mergeCells count="1">
    <mergeCell ref="A1:L1"/>
  </mergeCells>
  <printOptions horizontalCentered="1"/>
  <pageMargins left="0.75" right="0.75" top="1" bottom="1" header="0.5" footer="0.5"/>
  <pageSetup scale="61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topLeftCell="A13" zoomScaleNormal="100" workbookViewId="0">
      <selection activeCell="B43" sqref="B43"/>
    </sheetView>
  </sheetViews>
  <sheetFormatPr defaultColWidth="9.140625" defaultRowHeight="12.75"/>
  <cols>
    <col min="1" max="1" width="55.7109375" style="1" customWidth="1"/>
    <col min="2" max="11" width="11.140625" style="1" customWidth="1"/>
    <col min="12" max="12" width="9.140625" style="1"/>
    <col min="13" max="15" width="10.28515625" style="1" bestFit="1" customWidth="1"/>
    <col min="16" max="16384" width="9.140625" style="1"/>
  </cols>
  <sheetData>
    <row r="1" spans="1:16" ht="18.75" thickBot="1">
      <c r="A1" s="352" t="s">
        <v>90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</row>
    <row r="2" spans="1:16" ht="13.5" thickBot="1">
      <c r="A2" s="105"/>
      <c r="B2" s="353" t="s">
        <v>35</v>
      </c>
      <c r="C2" s="354"/>
      <c r="D2" s="354"/>
      <c r="E2" s="354"/>
      <c r="F2" s="355"/>
      <c r="G2" s="353" t="s">
        <v>40</v>
      </c>
      <c r="H2" s="354"/>
      <c r="I2" s="354"/>
      <c r="J2" s="354"/>
      <c r="K2" s="355"/>
      <c r="L2" s="353" t="s">
        <v>41</v>
      </c>
      <c r="M2" s="354"/>
      <c r="N2" s="354"/>
      <c r="O2" s="354"/>
      <c r="P2" s="355"/>
    </row>
    <row r="3" spans="1:16" ht="13.5" thickBot="1">
      <c r="A3" s="106" t="s">
        <v>0</v>
      </c>
      <c r="B3" s="5" t="s">
        <v>42</v>
      </c>
      <c r="C3" s="6" t="s">
        <v>43</v>
      </c>
      <c r="D3" s="6" t="s">
        <v>44</v>
      </c>
      <c r="E3" s="6" t="s">
        <v>45</v>
      </c>
      <c r="F3" s="7" t="s">
        <v>46</v>
      </c>
      <c r="G3" s="294" t="s">
        <v>42</v>
      </c>
      <c r="H3" s="71" t="s">
        <v>43</v>
      </c>
      <c r="I3" s="71" t="s">
        <v>44</v>
      </c>
      <c r="J3" s="71" t="s">
        <v>45</v>
      </c>
      <c r="K3" s="72" t="s">
        <v>47</v>
      </c>
      <c r="L3" s="294" t="s">
        <v>42</v>
      </c>
      <c r="M3" s="71" t="s">
        <v>43</v>
      </c>
      <c r="N3" s="71" t="s">
        <v>44</v>
      </c>
      <c r="O3" s="71" t="s">
        <v>45</v>
      </c>
      <c r="P3" s="72" t="s">
        <v>36</v>
      </c>
    </row>
    <row r="4" spans="1:16">
      <c r="A4" s="20"/>
      <c r="B4" s="8"/>
      <c r="C4" s="67"/>
      <c r="D4" s="67"/>
      <c r="E4" s="67"/>
      <c r="F4" s="83"/>
      <c r="G4" s="67"/>
      <c r="H4" s="67"/>
      <c r="I4" s="67"/>
      <c r="J4" s="67"/>
      <c r="K4" s="67"/>
      <c r="L4" s="8"/>
      <c r="M4" s="67"/>
      <c r="N4" s="67"/>
      <c r="O4" s="67"/>
      <c r="P4" s="83"/>
    </row>
    <row r="5" spans="1:16">
      <c r="A5" s="11"/>
      <c r="B5" s="11"/>
      <c r="C5" s="60"/>
      <c r="D5" s="60"/>
      <c r="E5" s="60"/>
      <c r="F5" s="84"/>
      <c r="G5" s="60"/>
      <c r="H5" s="60"/>
      <c r="I5" s="60"/>
      <c r="J5" s="60"/>
      <c r="K5" s="60"/>
      <c r="L5" s="11"/>
      <c r="M5" s="60"/>
      <c r="N5" s="60"/>
      <c r="O5" s="60"/>
      <c r="P5" s="84"/>
    </row>
    <row r="6" spans="1:16">
      <c r="A6" s="11" t="s">
        <v>13</v>
      </c>
      <c r="B6" s="11"/>
      <c r="C6" s="60"/>
      <c r="D6" s="60"/>
      <c r="E6" s="60"/>
      <c r="F6" s="84"/>
      <c r="G6" s="60"/>
      <c r="H6" s="60"/>
      <c r="I6" s="60"/>
      <c r="J6" s="60"/>
      <c r="K6" s="60"/>
      <c r="L6" s="11"/>
      <c r="M6" s="60"/>
      <c r="N6" s="60"/>
      <c r="O6" s="60"/>
      <c r="P6" s="84"/>
    </row>
    <row r="7" spans="1:16">
      <c r="A7" s="31"/>
      <c r="B7" s="31"/>
      <c r="C7" s="85"/>
      <c r="D7" s="85"/>
      <c r="E7" s="85"/>
      <c r="F7" s="86"/>
      <c r="G7" s="85"/>
      <c r="H7" s="85"/>
      <c r="I7" s="85"/>
      <c r="J7" s="85"/>
      <c r="K7" s="85"/>
      <c r="L7" s="31"/>
      <c r="M7" s="85"/>
      <c r="N7" s="85"/>
      <c r="O7" s="85"/>
      <c r="P7" s="86"/>
    </row>
    <row r="8" spans="1:16">
      <c r="A8" s="11" t="s">
        <v>14</v>
      </c>
      <c r="B8" s="288">
        <v>639.36915147353295</v>
      </c>
      <c r="C8" s="206">
        <v>2204.6343670529172</v>
      </c>
      <c r="D8" s="206">
        <v>7496.0852838815317</v>
      </c>
      <c r="E8" s="206">
        <v>12932.257314194518</v>
      </c>
      <c r="F8" s="207">
        <v>3124.5981122378093</v>
      </c>
      <c r="G8" s="206"/>
      <c r="H8" s="206"/>
      <c r="I8" s="206"/>
      <c r="J8" s="206"/>
      <c r="K8" s="206"/>
      <c r="L8" s="288">
        <v>639.36915147353295</v>
      </c>
      <c r="M8" s="206">
        <v>2204.6343670529172</v>
      </c>
      <c r="N8" s="206">
        <v>7496.0852838815317</v>
      </c>
      <c r="O8" s="206">
        <v>12932.257314194518</v>
      </c>
      <c r="P8" s="207">
        <v>3124.5981122378093</v>
      </c>
    </row>
    <row r="9" spans="1:16">
      <c r="A9" s="11" t="s">
        <v>15</v>
      </c>
      <c r="B9" s="288">
        <v>356.66361055361369</v>
      </c>
      <c r="C9" s="206">
        <v>523.60536838354562</v>
      </c>
      <c r="D9" s="206">
        <v>646.44538962489719</v>
      </c>
      <c r="E9" s="206">
        <v>1570.9759334507096</v>
      </c>
      <c r="F9" s="207">
        <v>537.28389720060682</v>
      </c>
      <c r="G9" s="206"/>
      <c r="H9" s="206"/>
      <c r="I9" s="206"/>
      <c r="J9" s="206"/>
      <c r="K9" s="206"/>
      <c r="L9" s="288">
        <v>356.66361055361369</v>
      </c>
      <c r="M9" s="206">
        <v>523.60536838354562</v>
      </c>
      <c r="N9" s="206">
        <v>646.44538962489719</v>
      </c>
      <c r="O9" s="206">
        <v>1570.9759334507096</v>
      </c>
      <c r="P9" s="207">
        <v>537.28389720060682</v>
      </c>
    </row>
    <row r="10" spans="1:16">
      <c r="A10" s="11" t="s">
        <v>16</v>
      </c>
      <c r="B10" s="288">
        <v>286.09915608516604</v>
      </c>
      <c r="C10" s="206">
        <v>299.58795058790378</v>
      </c>
      <c r="D10" s="206">
        <v>292.3908974961347</v>
      </c>
      <c r="E10" s="206">
        <v>497.57841718391353</v>
      </c>
      <c r="F10" s="207">
        <v>300.87381269036035</v>
      </c>
      <c r="G10" s="206"/>
      <c r="H10" s="206"/>
      <c r="I10" s="206"/>
      <c r="J10" s="206"/>
      <c r="K10" s="206"/>
      <c r="L10" s="288">
        <v>286.09915608516604</v>
      </c>
      <c r="M10" s="206">
        <v>299.58795058790378</v>
      </c>
      <c r="N10" s="206">
        <v>292.3908974961347</v>
      </c>
      <c r="O10" s="206">
        <v>497.57841718391353</v>
      </c>
      <c r="P10" s="207">
        <v>300.87381269036035</v>
      </c>
    </row>
    <row r="11" spans="1:16">
      <c r="A11" s="11" t="s">
        <v>83</v>
      </c>
      <c r="B11" s="288">
        <v>281.84065760594029</v>
      </c>
      <c r="C11" s="206">
        <v>295.03843173105685</v>
      </c>
      <c r="D11" s="206">
        <v>287.99665486564737</v>
      </c>
      <c r="E11" s="206">
        <v>490.99503047829211</v>
      </c>
      <c r="F11" s="207">
        <v>296.36257259122112</v>
      </c>
      <c r="G11" s="206"/>
      <c r="H11" s="206"/>
      <c r="I11" s="206"/>
      <c r="J11" s="206"/>
      <c r="K11" s="206"/>
      <c r="L11" s="288">
        <v>281.84065760594029</v>
      </c>
      <c r="M11" s="206">
        <v>295.03843173105685</v>
      </c>
      <c r="N11" s="206">
        <v>287.99665486564737</v>
      </c>
      <c r="O11" s="206">
        <v>490.99503047829211</v>
      </c>
      <c r="P11" s="207">
        <v>296.36257259122112</v>
      </c>
    </row>
    <row r="12" spans="1:16">
      <c r="A12" s="19"/>
      <c r="B12" s="19"/>
      <c r="C12" s="61"/>
      <c r="D12" s="61"/>
      <c r="E12" s="61"/>
      <c r="F12" s="89"/>
      <c r="G12" s="61"/>
      <c r="H12" s="61"/>
      <c r="I12" s="61"/>
      <c r="J12" s="61"/>
      <c r="K12" s="61"/>
      <c r="L12" s="19"/>
      <c r="M12" s="61"/>
      <c r="N12" s="61"/>
      <c r="O12" s="61"/>
      <c r="P12" s="89"/>
    </row>
    <row r="13" spans="1:16">
      <c r="A13" s="11" t="s">
        <v>17</v>
      </c>
      <c r="B13" s="90">
        <f t="shared" ref="B13:P13" si="0">SUM(B8:B10)</f>
        <v>1282.1319181123126</v>
      </c>
      <c r="C13" s="23">
        <f t="shared" si="0"/>
        <v>3027.8276860243668</v>
      </c>
      <c r="D13" s="23">
        <f t="shared" si="0"/>
        <v>8434.9215710025637</v>
      </c>
      <c r="E13" s="23">
        <f t="shared" si="0"/>
        <v>15000.81166482914</v>
      </c>
      <c r="F13" s="24">
        <f t="shared" si="0"/>
        <v>3962.7558221287768</v>
      </c>
      <c r="G13" s="23"/>
      <c r="H13" s="23"/>
      <c r="I13" s="23"/>
      <c r="J13" s="23"/>
      <c r="K13" s="23"/>
      <c r="L13" s="90">
        <f t="shared" si="0"/>
        <v>1282.1319181123126</v>
      </c>
      <c r="M13" s="23">
        <f t="shared" si="0"/>
        <v>3027.8276860243668</v>
      </c>
      <c r="N13" s="23">
        <f t="shared" si="0"/>
        <v>8434.9215710025637</v>
      </c>
      <c r="O13" s="23">
        <f t="shared" si="0"/>
        <v>15000.81166482914</v>
      </c>
      <c r="P13" s="24">
        <f t="shared" si="0"/>
        <v>3962.7558221287768</v>
      </c>
    </row>
    <row r="14" spans="1:16">
      <c r="A14" s="11" t="s">
        <v>82</v>
      </c>
      <c r="B14" s="289">
        <f>B8+B9+B11</f>
        <v>1277.873419633087</v>
      </c>
      <c r="C14" s="287">
        <f t="shared" ref="C14:P14" si="1">C8+C9+C11</f>
        <v>3023.2781671675198</v>
      </c>
      <c r="D14" s="287">
        <f t="shared" si="1"/>
        <v>8430.5273283720762</v>
      </c>
      <c r="E14" s="287">
        <f t="shared" si="1"/>
        <v>14994.228278123519</v>
      </c>
      <c r="F14" s="290">
        <f t="shared" si="1"/>
        <v>3958.2445820296375</v>
      </c>
      <c r="G14" s="287"/>
      <c r="H14" s="287"/>
      <c r="I14" s="287"/>
      <c r="J14" s="287"/>
      <c r="K14" s="287"/>
      <c r="L14" s="289">
        <f t="shared" si="1"/>
        <v>1277.873419633087</v>
      </c>
      <c r="M14" s="287">
        <f t="shared" si="1"/>
        <v>3023.2781671675198</v>
      </c>
      <c r="N14" s="287">
        <f t="shared" si="1"/>
        <v>8430.5273283720762</v>
      </c>
      <c r="O14" s="287">
        <f t="shared" si="1"/>
        <v>14994.228278123519</v>
      </c>
      <c r="P14" s="290">
        <f t="shared" si="1"/>
        <v>3958.2445820296375</v>
      </c>
    </row>
    <row r="15" spans="1:16">
      <c r="A15" s="11" t="s">
        <v>25</v>
      </c>
      <c r="B15" s="90"/>
      <c r="C15" s="23"/>
      <c r="D15" s="23"/>
      <c r="E15" s="23"/>
      <c r="F15" s="24"/>
      <c r="G15" s="23"/>
      <c r="H15" s="23"/>
      <c r="I15" s="23"/>
      <c r="J15" s="23"/>
      <c r="K15" s="23"/>
      <c r="L15" s="90"/>
      <c r="M15" s="23"/>
      <c r="N15" s="23"/>
      <c r="O15" s="23"/>
      <c r="P15" s="24"/>
    </row>
    <row r="16" spans="1:16">
      <c r="A16" s="311">
        <f>Input!B3</f>
        <v>2.7723662892949787E-2</v>
      </c>
      <c r="B16" s="90"/>
      <c r="C16" s="23"/>
      <c r="D16" s="23"/>
      <c r="E16" s="23"/>
      <c r="F16" s="24"/>
      <c r="G16" s="23"/>
      <c r="H16" s="23"/>
      <c r="I16" s="23"/>
      <c r="J16" s="23"/>
      <c r="K16" s="23"/>
      <c r="L16" s="90"/>
      <c r="M16" s="23"/>
      <c r="N16" s="23"/>
      <c r="O16" s="23"/>
      <c r="P16" s="24"/>
    </row>
    <row r="17" spans="1:16">
      <c r="A17" s="11" t="s">
        <v>26</v>
      </c>
      <c r="B17" s="165"/>
      <c r="C17" s="91"/>
      <c r="D17" s="91"/>
      <c r="E17" s="91"/>
      <c r="F17" s="92"/>
      <c r="G17" s="91"/>
      <c r="H17" s="91"/>
      <c r="I17" s="91"/>
      <c r="J17" s="91"/>
      <c r="K17" s="91"/>
      <c r="L17" s="165"/>
      <c r="M17" s="91"/>
      <c r="N17" s="91"/>
      <c r="O17" s="91"/>
      <c r="P17" s="92"/>
    </row>
    <row r="18" spans="1:16">
      <c r="A18" s="311">
        <f>Input!B4</f>
        <v>1.5023E-2</v>
      </c>
      <c r="B18" s="90"/>
      <c r="C18" s="23"/>
      <c r="D18" s="23"/>
      <c r="E18" s="23"/>
      <c r="F18" s="24"/>
      <c r="G18" s="23"/>
      <c r="H18" s="23"/>
      <c r="I18" s="23"/>
      <c r="J18" s="23"/>
      <c r="K18" s="23"/>
      <c r="L18" s="90"/>
      <c r="M18" s="23"/>
      <c r="N18" s="23"/>
      <c r="O18" s="23"/>
      <c r="P18" s="24"/>
    </row>
    <row r="19" spans="1:16">
      <c r="A19" s="20" t="s">
        <v>27</v>
      </c>
      <c r="B19" s="90">
        <f t="shared" ref="B19:P19" si="2">(B8*(1+$A$16)*(1+$A$18))</f>
        <v>666.96634156807841</v>
      </c>
      <c r="C19" s="23">
        <f t="shared" si="2"/>
        <v>2299.793343015876</v>
      </c>
      <c r="D19" s="23">
        <f t="shared" si="2"/>
        <v>7819.6399784854775</v>
      </c>
      <c r="E19" s="23">
        <f t="shared" si="2"/>
        <v>13490.454347362102</v>
      </c>
      <c r="F19" s="24">
        <f t="shared" si="2"/>
        <v>3259.4656263706897</v>
      </c>
      <c r="G19" s="23"/>
      <c r="H19" s="23"/>
      <c r="I19" s="23"/>
      <c r="J19" s="23"/>
      <c r="K19" s="23"/>
      <c r="L19" s="90">
        <f t="shared" si="2"/>
        <v>666.96634156807841</v>
      </c>
      <c r="M19" s="23">
        <f t="shared" si="2"/>
        <v>2299.793343015876</v>
      </c>
      <c r="N19" s="23">
        <f t="shared" si="2"/>
        <v>7819.6399784854775</v>
      </c>
      <c r="O19" s="23">
        <f t="shared" si="2"/>
        <v>13490.454347362102</v>
      </c>
      <c r="P19" s="24">
        <f t="shared" si="2"/>
        <v>3259.4656263706897</v>
      </c>
    </row>
    <row r="20" spans="1:16">
      <c r="A20" s="20" t="s">
        <v>15</v>
      </c>
      <c r="B20" s="90">
        <f t="shared" ref="B20:P20" si="3">(B9*(1+$A$16)*(1+$A$18))</f>
        <v>372.05833743020816</v>
      </c>
      <c r="C20" s="23">
        <f t="shared" si="3"/>
        <v>546.20582830955652</v>
      </c>
      <c r="D20" s="23">
        <f t="shared" si="3"/>
        <v>674.34801248698761</v>
      </c>
      <c r="E20" s="23">
        <f t="shared" si="3"/>
        <v>1638.7842119225086</v>
      </c>
      <c r="F20" s="24">
        <f t="shared" si="3"/>
        <v>560.47476559269433</v>
      </c>
      <c r="G20" s="23"/>
      <c r="H20" s="23"/>
      <c r="I20" s="23"/>
      <c r="J20" s="23"/>
      <c r="K20" s="23"/>
      <c r="L20" s="90">
        <f t="shared" si="3"/>
        <v>372.05833743020816</v>
      </c>
      <c r="M20" s="23">
        <f t="shared" si="3"/>
        <v>546.20582830955652</v>
      </c>
      <c r="N20" s="23">
        <f t="shared" si="3"/>
        <v>674.34801248698761</v>
      </c>
      <c r="O20" s="23">
        <f t="shared" si="3"/>
        <v>1638.7842119225086</v>
      </c>
      <c r="P20" s="24">
        <f t="shared" si="3"/>
        <v>560.47476559269433</v>
      </c>
    </row>
    <row r="21" spans="1:16">
      <c r="A21" s="20" t="s">
        <v>16</v>
      </c>
      <c r="B21" s="90">
        <f t="shared" ref="B21:P22" si="4">(B10*(1+$A$16)*(1+$A$18))</f>
        <v>298.4480984421358</v>
      </c>
      <c r="C21" s="23">
        <f t="shared" si="4"/>
        <v>312.519111879241</v>
      </c>
      <c r="D21" s="23">
        <f t="shared" si="4"/>
        <v>305.01141126586981</v>
      </c>
      <c r="E21" s="23">
        <f t="shared" si="4"/>
        <v>519.05547176860898</v>
      </c>
      <c r="F21" s="24">
        <f t="shared" si="4"/>
        <v>313.86047584755244</v>
      </c>
      <c r="G21" s="23"/>
      <c r="H21" s="23"/>
      <c r="I21" s="23"/>
      <c r="J21" s="23"/>
      <c r="K21" s="23"/>
      <c r="L21" s="90">
        <f t="shared" si="4"/>
        <v>298.4480984421358</v>
      </c>
      <c r="M21" s="23">
        <f t="shared" si="4"/>
        <v>312.519111879241</v>
      </c>
      <c r="N21" s="23">
        <f t="shared" si="4"/>
        <v>305.01141126586981</v>
      </c>
      <c r="O21" s="23">
        <f t="shared" si="4"/>
        <v>519.05547176860898</v>
      </c>
      <c r="P21" s="24">
        <f t="shared" si="4"/>
        <v>313.86047584755244</v>
      </c>
    </row>
    <row r="22" spans="1:16">
      <c r="A22" s="11" t="s">
        <v>83</v>
      </c>
      <c r="B22" s="90">
        <f t="shared" si="4"/>
        <v>294.00578973093735</v>
      </c>
      <c r="C22" s="23">
        <f t="shared" si="4"/>
        <v>307.77322143261404</v>
      </c>
      <c r="D22" s="23">
        <f t="shared" si="4"/>
        <v>300.42749925750326</v>
      </c>
      <c r="E22" s="23">
        <f t="shared" si="4"/>
        <v>512.18792531902398</v>
      </c>
      <c r="F22" s="24">
        <f t="shared" si="4"/>
        <v>309.15451639060382</v>
      </c>
      <c r="G22" s="23"/>
      <c r="H22" s="23"/>
      <c r="I22" s="23"/>
      <c r="J22" s="23"/>
      <c r="K22" s="23"/>
      <c r="L22" s="90">
        <f t="shared" si="4"/>
        <v>294.00578973093735</v>
      </c>
      <c r="M22" s="23">
        <f t="shared" si="4"/>
        <v>307.77322143261404</v>
      </c>
      <c r="N22" s="23">
        <f t="shared" si="4"/>
        <v>300.42749925750326</v>
      </c>
      <c r="O22" s="23">
        <f t="shared" si="4"/>
        <v>512.18792531902398</v>
      </c>
      <c r="P22" s="24">
        <f t="shared" si="4"/>
        <v>309.15451639060382</v>
      </c>
    </row>
    <row r="23" spans="1:16">
      <c r="A23" s="311"/>
      <c r="B23" s="90"/>
      <c r="C23" s="23"/>
      <c r="D23" s="23"/>
      <c r="E23" s="23"/>
      <c r="F23" s="24"/>
      <c r="G23" s="23"/>
      <c r="H23" s="23"/>
      <c r="I23" s="23"/>
      <c r="J23" s="23"/>
      <c r="K23" s="23"/>
      <c r="L23" s="90"/>
      <c r="M23" s="23"/>
      <c r="N23" s="23"/>
      <c r="O23" s="23"/>
      <c r="P23" s="24"/>
    </row>
    <row r="24" spans="1:16">
      <c r="A24" s="11" t="s">
        <v>17</v>
      </c>
      <c r="B24" s="90">
        <f t="shared" ref="B24:P24" si="5">SUM(B19:B21)</f>
        <v>1337.4727774404223</v>
      </c>
      <c r="C24" s="23">
        <f t="shared" si="5"/>
        <v>3158.5182832046735</v>
      </c>
      <c r="D24" s="23">
        <f t="shared" si="5"/>
        <v>8798.9994022383362</v>
      </c>
      <c r="E24" s="23">
        <f t="shared" si="5"/>
        <v>15648.294031053218</v>
      </c>
      <c r="F24" s="24">
        <f t="shared" si="5"/>
        <v>4133.8008678109363</v>
      </c>
      <c r="G24" s="23"/>
      <c r="H24" s="23"/>
      <c r="I24" s="23"/>
      <c r="J24" s="23"/>
      <c r="K24" s="23"/>
      <c r="L24" s="90">
        <f t="shared" si="5"/>
        <v>1337.4727774404223</v>
      </c>
      <c r="M24" s="23">
        <f t="shared" si="5"/>
        <v>3158.5182832046735</v>
      </c>
      <c r="N24" s="23">
        <f t="shared" si="5"/>
        <v>8798.9994022383362</v>
      </c>
      <c r="O24" s="23">
        <f t="shared" si="5"/>
        <v>15648.294031053218</v>
      </c>
      <c r="P24" s="24">
        <f t="shared" si="5"/>
        <v>4133.8008678109363</v>
      </c>
    </row>
    <row r="25" spans="1:16">
      <c r="A25" s="11" t="s">
        <v>82</v>
      </c>
      <c r="B25" s="90">
        <f>B19+B20+B22</f>
        <v>1333.0304687292239</v>
      </c>
      <c r="C25" s="23">
        <f t="shared" ref="C25:P25" si="6">C19+C20+C22</f>
        <v>3153.7723927580464</v>
      </c>
      <c r="D25" s="23">
        <f t="shared" si="6"/>
        <v>8794.4154902299688</v>
      </c>
      <c r="E25" s="23">
        <f t="shared" si="6"/>
        <v>15641.426484603633</v>
      </c>
      <c r="F25" s="24">
        <f t="shared" si="6"/>
        <v>4129.0949083539881</v>
      </c>
      <c r="G25" s="23"/>
      <c r="H25" s="23"/>
      <c r="I25" s="23"/>
      <c r="J25" s="23"/>
      <c r="K25" s="23"/>
      <c r="L25" s="90">
        <f t="shared" si="6"/>
        <v>1333.0304687292239</v>
      </c>
      <c r="M25" s="23">
        <f t="shared" si="6"/>
        <v>3153.7723927580464</v>
      </c>
      <c r="N25" s="23">
        <f t="shared" si="6"/>
        <v>8794.4154902299688</v>
      </c>
      <c r="O25" s="23">
        <f t="shared" si="6"/>
        <v>15641.426484603633</v>
      </c>
      <c r="P25" s="24">
        <f t="shared" si="6"/>
        <v>4129.0949083539881</v>
      </c>
    </row>
    <row r="26" spans="1:16">
      <c r="A26" s="19"/>
      <c r="B26" s="19"/>
      <c r="C26" s="61"/>
      <c r="D26" s="61"/>
      <c r="E26" s="61"/>
      <c r="F26" s="89"/>
      <c r="G26" s="61"/>
      <c r="H26" s="61"/>
      <c r="I26" s="61"/>
      <c r="J26" s="61"/>
      <c r="K26" s="61"/>
      <c r="L26" s="19"/>
      <c r="M26" s="61"/>
      <c r="N26" s="61"/>
      <c r="O26" s="61"/>
      <c r="P26" s="89"/>
    </row>
    <row r="27" spans="1:16">
      <c r="A27" s="20" t="s">
        <v>20</v>
      </c>
      <c r="B27" s="19"/>
      <c r="C27" s="93"/>
      <c r="D27" s="93"/>
      <c r="E27" s="93"/>
      <c r="F27" s="94"/>
      <c r="G27" s="93"/>
      <c r="H27" s="93"/>
      <c r="I27" s="93"/>
      <c r="J27" s="93"/>
      <c r="K27" s="93"/>
      <c r="L27" s="295"/>
      <c r="M27" s="93"/>
      <c r="N27" s="93"/>
      <c r="O27" s="93"/>
      <c r="P27" s="94"/>
    </row>
    <row r="28" spans="1:16">
      <c r="A28" s="20" t="s">
        <v>120</v>
      </c>
      <c r="B28" s="291">
        <f>B19*Input!$B$8</f>
        <v>825.44032834597817</v>
      </c>
      <c r="C28" s="87">
        <f>C19*Input!$B$8</f>
        <v>2846.2338410118296</v>
      </c>
      <c r="D28" s="87">
        <f>D19*Input!$B$8</f>
        <v>9677.6190777680404</v>
      </c>
      <c r="E28" s="87">
        <f>E19*Input!$B$8</f>
        <v>16695.842611551601</v>
      </c>
      <c r="F28" s="88">
        <f>F19*Input!$B$8</f>
        <v>4033.9282647132327</v>
      </c>
      <c r="G28" s="87"/>
      <c r="H28" s="87"/>
      <c r="I28" s="87"/>
      <c r="J28" s="87"/>
      <c r="K28" s="87"/>
      <c r="L28" s="291">
        <f>L19*Input!$B$8</f>
        <v>825.44032834597817</v>
      </c>
      <c r="M28" s="87">
        <f>M19*Input!$B$8</f>
        <v>2846.2338410118296</v>
      </c>
      <c r="N28" s="87">
        <f>N19*Input!$B$8</f>
        <v>9677.6190777680404</v>
      </c>
      <c r="O28" s="87">
        <f>O19*Input!$B$8</f>
        <v>16695.842611551601</v>
      </c>
      <c r="P28" s="88">
        <f>P19*Input!$B$8</f>
        <v>4033.9282647132327</v>
      </c>
    </row>
    <row r="29" spans="1:16">
      <c r="A29" s="20" t="s">
        <v>121</v>
      </c>
      <c r="B29" s="291">
        <f>B20*Input!$B$9</f>
        <v>458.6523933659102</v>
      </c>
      <c r="C29" s="87">
        <f>C20*Input!$B$9</f>
        <v>673.33153224010357</v>
      </c>
      <c r="D29" s="87">
        <f>D20*Input!$B$9</f>
        <v>831.29794113730725</v>
      </c>
      <c r="E29" s="87">
        <f>E20*Input!$B$9</f>
        <v>2020.2001282917602</v>
      </c>
      <c r="F29" s="88">
        <f>F20*Input!$B$9</f>
        <v>690.92146794992175</v>
      </c>
      <c r="G29" s="87"/>
      <c r="H29" s="87"/>
      <c r="I29" s="87"/>
      <c r="J29" s="87"/>
      <c r="K29" s="87"/>
      <c r="L29" s="291">
        <f>L20*Input!$B$9</f>
        <v>458.6523933659102</v>
      </c>
      <c r="M29" s="87">
        <f>M20*Input!$B$9</f>
        <v>673.33153224010357</v>
      </c>
      <c r="N29" s="87">
        <f>N20*Input!$B$9</f>
        <v>831.29794113730725</v>
      </c>
      <c r="O29" s="87">
        <f>O20*Input!$B$9</f>
        <v>2020.2001282917602</v>
      </c>
      <c r="P29" s="88">
        <f>P20*Input!$B$9</f>
        <v>690.92146794992175</v>
      </c>
    </row>
    <row r="30" spans="1:16">
      <c r="A30" s="20" t="s">
        <v>136</v>
      </c>
      <c r="B30" s="291">
        <f>B21*Input!$B$13</f>
        <v>321.35588575825273</v>
      </c>
      <c r="C30" s="87">
        <f>C21*Input!$B$13</f>
        <v>336.50693885659882</v>
      </c>
      <c r="D30" s="87">
        <f>D21*Input!$B$13</f>
        <v>328.4229745317752</v>
      </c>
      <c r="E30" s="87">
        <f>E21*Input!$B$13</f>
        <v>558.89627629914071</v>
      </c>
      <c r="F30" s="88">
        <f>F21*Input!$B$13</f>
        <v>337.95126102990463</v>
      </c>
      <c r="G30" s="87"/>
      <c r="H30" s="87"/>
      <c r="I30" s="87"/>
      <c r="J30" s="87"/>
      <c r="K30" s="87"/>
      <c r="L30" s="291">
        <f>L21*Input!$B$13</f>
        <v>321.35588575825273</v>
      </c>
      <c r="M30" s="87">
        <f>M21*Input!$B$13</f>
        <v>336.50693885659882</v>
      </c>
      <c r="N30" s="87">
        <f>N21*Input!$B$13</f>
        <v>328.4229745317752</v>
      </c>
      <c r="O30" s="87">
        <f>O21*Input!$B$13</f>
        <v>558.89627629914071</v>
      </c>
      <c r="P30" s="88">
        <f>P21*Input!$B$13</f>
        <v>337.95126102990463</v>
      </c>
    </row>
    <row r="31" spans="1:16">
      <c r="A31" s="20" t="s">
        <v>137</v>
      </c>
      <c r="B31" s="291">
        <f>B22*Input!$B$13</f>
        <v>316.57260163565155</v>
      </c>
      <c r="C31" s="87">
        <f>C22*Input!$B$13</f>
        <v>331.39677117200512</v>
      </c>
      <c r="D31" s="87">
        <f>D22*Input!$B$13</f>
        <v>323.48721815947539</v>
      </c>
      <c r="E31" s="87">
        <f>E22*Input!$B$13</f>
        <v>551.50160203647249</v>
      </c>
      <c r="F31" s="88">
        <f>F22*Input!$B$13</f>
        <v>332.88408929209118</v>
      </c>
      <c r="G31" s="87"/>
      <c r="H31" s="87"/>
      <c r="I31" s="87"/>
      <c r="J31" s="87"/>
      <c r="K31" s="87"/>
      <c r="L31" s="291">
        <f>L22*Input!$B$13</f>
        <v>316.57260163565155</v>
      </c>
      <c r="M31" s="87">
        <f>M22*Input!$B$13</f>
        <v>331.39677117200512</v>
      </c>
      <c r="N31" s="87">
        <f>N22*Input!$B$13</f>
        <v>323.48721815947539</v>
      </c>
      <c r="O31" s="87">
        <f>O22*Input!$B$13</f>
        <v>551.50160203647249</v>
      </c>
      <c r="P31" s="88">
        <f>P22*Input!$B$13</f>
        <v>332.88408929209118</v>
      </c>
    </row>
    <row r="32" spans="1:16">
      <c r="A32" s="166"/>
      <c r="B32" s="166"/>
      <c r="C32" s="95"/>
      <c r="D32" s="95"/>
      <c r="E32" s="95"/>
      <c r="F32" s="96"/>
      <c r="G32" s="95"/>
      <c r="H32" s="95"/>
      <c r="I32" s="95"/>
      <c r="J32" s="95"/>
      <c r="K32" s="95"/>
      <c r="L32" s="166"/>
      <c r="M32" s="95"/>
      <c r="N32" s="95"/>
      <c r="O32" s="95"/>
      <c r="P32" s="96"/>
    </row>
    <row r="33" spans="1:16">
      <c r="A33" s="11" t="s">
        <v>17</v>
      </c>
      <c r="B33" s="167">
        <f>SUM(B28:B30)</f>
        <v>1605.448607470141</v>
      </c>
      <c r="C33" s="97">
        <f t="shared" ref="C33:P33" si="7">SUM(C28:C30)</f>
        <v>3856.0723121085321</v>
      </c>
      <c r="D33" s="97">
        <f t="shared" si="7"/>
        <v>10837.339993437123</v>
      </c>
      <c r="E33" s="97">
        <f t="shared" si="7"/>
        <v>19274.9390161425</v>
      </c>
      <c r="F33" s="98">
        <f t="shared" si="7"/>
        <v>5062.8009936930584</v>
      </c>
      <c r="G33" s="97"/>
      <c r="H33" s="97"/>
      <c r="I33" s="97"/>
      <c r="J33" s="97"/>
      <c r="K33" s="97"/>
      <c r="L33" s="167">
        <f>SUM(L28:L30)</f>
        <v>1605.448607470141</v>
      </c>
      <c r="M33" s="97">
        <f t="shared" si="7"/>
        <v>3856.0723121085321</v>
      </c>
      <c r="N33" s="97">
        <f t="shared" si="7"/>
        <v>10837.339993437123</v>
      </c>
      <c r="O33" s="97">
        <f t="shared" si="7"/>
        <v>19274.9390161425</v>
      </c>
      <c r="P33" s="98">
        <f t="shared" si="7"/>
        <v>5062.8009936930584</v>
      </c>
    </row>
    <row r="34" spans="1:16">
      <c r="A34" s="11" t="s">
        <v>82</v>
      </c>
      <c r="B34" s="167">
        <f>B28+B29+B31</f>
        <v>1600.6653233475399</v>
      </c>
      <c r="C34" s="97">
        <f t="shared" ref="C34:P34" si="8">C28+C29+C31</f>
        <v>3850.9621444239383</v>
      </c>
      <c r="D34" s="97">
        <f t="shared" si="8"/>
        <v>10832.404237064822</v>
      </c>
      <c r="E34" s="97">
        <f t="shared" si="8"/>
        <v>19267.544341879831</v>
      </c>
      <c r="F34" s="98">
        <f t="shared" si="8"/>
        <v>5057.7338219552457</v>
      </c>
      <c r="G34" s="97"/>
      <c r="H34" s="97"/>
      <c r="I34" s="97"/>
      <c r="J34" s="97"/>
      <c r="K34" s="97"/>
      <c r="L34" s="167">
        <f t="shared" si="8"/>
        <v>1600.6653233475399</v>
      </c>
      <c r="M34" s="97">
        <f t="shared" si="8"/>
        <v>3850.9621444239383</v>
      </c>
      <c r="N34" s="97">
        <f t="shared" si="8"/>
        <v>10832.404237064822</v>
      </c>
      <c r="O34" s="97">
        <f t="shared" si="8"/>
        <v>19267.544341879831</v>
      </c>
      <c r="P34" s="98">
        <f t="shared" si="8"/>
        <v>5057.7338219552457</v>
      </c>
    </row>
    <row r="35" spans="1:16">
      <c r="A35" s="20"/>
      <c r="B35" s="26"/>
      <c r="C35" s="62"/>
      <c r="D35" s="62"/>
      <c r="E35" s="62"/>
      <c r="F35" s="110"/>
      <c r="G35" s="62"/>
      <c r="H35" s="62"/>
      <c r="I35" s="62"/>
      <c r="J35" s="62"/>
      <c r="K35" s="62"/>
      <c r="L35" s="166"/>
      <c r="M35" s="95"/>
      <c r="N35" s="95"/>
      <c r="O35" s="95"/>
      <c r="P35" s="96"/>
    </row>
    <row r="36" spans="1:16">
      <c r="A36" s="11" t="s">
        <v>113</v>
      </c>
      <c r="B36" s="168">
        <f>'NCO Sml Comm Cust Fcst'!H12</f>
        <v>153.58333333333334</v>
      </c>
      <c r="C36" s="99">
        <f>'NCO Sml Comm Cust Fcst'!H13</f>
        <v>311.58333333333331</v>
      </c>
      <c r="D36" s="99">
        <f>'NCO Sml Comm Cust Fcst'!H14</f>
        <v>134.41666666666666</v>
      </c>
      <c r="E36" s="99">
        <f>'NCO Sml Comm Cust Fcst'!H15</f>
        <v>19.416666666666668</v>
      </c>
      <c r="F36" s="100">
        <f>SUM(B36:E36)</f>
        <v>618.99999999999989</v>
      </c>
      <c r="G36" s="99"/>
      <c r="H36" s="99"/>
      <c r="I36" s="99"/>
      <c r="J36" s="99"/>
      <c r="K36" s="99"/>
      <c r="L36" s="168">
        <f>'NCO Sml Comm Cust Fcst'!J12</f>
        <v>158.58333333333334</v>
      </c>
      <c r="M36" s="99">
        <f>'NCO Sml Comm Cust Fcst'!J13</f>
        <v>311.58333333333331</v>
      </c>
      <c r="N36" s="99">
        <f>'NCO Sml Comm Cust Fcst'!J14</f>
        <v>134.41666666666666</v>
      </c>
      <c r="O36" s="99">
        <f>'NCO Sml Comm Cust Fcst'!J15</f>
        <v>19.416666666666668</v>
      </c>
      <c r="P36" s="100">
        <f>SUM(L36:O36)</f>
        <v>623.99999999999989</v>
      </c>
    </row>
    <row r="37" spans="1:16">
      <c r="A37" s="20" t="s">
        <v>84</v>
      </c>
      <c r="B37" s="168">
        <f>'NCO Sml Comm Cust Fcst'!H18</f>
        <v>0.71363330104131428</v>
      </c>
      <c r="C37" s="99">
        <f>'NCO Sml Comm Cust Fcst'!H19</f>
        <v>1.4682848935330666</v>
      </c>
      <c r="D37" s="99">
        <f>'NCO Sml Comm Cust Fcst'!H20</f>
        <v>0.62917844140393275</v>
      </c>
      <c r="E37" s="99">
        <f>'NCO Sml Comm Cust Fcst'!H21</f>
        <v>9.6777933366412272E-2</v>
      </c>
      <c r="F37" s="100">
        <f t="shared" ref="F37" si="9">SUM(B37:E37)</f>
        <v>2.9078745693447257</v>
      </c>
      <c r="G37" s="99"/>
      <c r="H37" s="99"/>
      <c r="I37" s="99"/>
      <c r="J37" s="99"/>
      <c r="K37" s="99"/>
      <c r="L37" s="168">
        <f>'NCO Sml Comm Cust Fcst'!J18</f>
        <v>0.71363330104131428</v>
      </c>
      <c r="M37" s="99">
        <f>'NCO Sml Comm Cust Fcst'!J19</f>
        <v>1.4682848935330666</v>
      </c>
      <c r="N37" s="99">
        <f>'NCO Sml Comm Cust Fcst'!J20</f>
        <v>0.62917844140393275</v>
      </c>
      <c r="O37" s="99">
        <f>'NCO Sml Comm Cust Fcst'!J21</f>
        <v>9.6777933366412272E-2</v>
      </c>
      <c r="P37" s="100">
        <f t="shared" ref="P37" si="10">SUM(L37:O37)</f>
        <v>2.9078745693447257</v>
      </c>
    </row>
    <row r="38" spans="1:16">
      <c r="A38" s="20" t="s">
        <v>85</v>
      </c>
      <c r="B38" s="168">
        <f>'NCO Sml Comm Cust Fcst'!H25</f>
        <v>2.30375</v>
      </c>
      <c r="C38" s="99">
        <f>'NCO Sml Comm Cust Fcst'!H26</f>
        <v>4.6737499999999992</v>
      </c>
      <c r="D38" s="99">
        <f>'NCO Sml Comm Cust Fcst'!H27</f>
        <v>2.0162499999999999</v>
      </c>
      <c r="E38" s="99">
        <f>'NCO Sml Comm Cust Fcst'!H28</f>
        <v>0.29125000000000001</v>
      </c>
      <c r="F38" s="100">
        <f t="shared" ref="F38" si="11">SUM(B38:E38)</f>
        <v>9.2849999999999984</v>
      </c>
      <c r="G38" s="99"/>
      <c r="H38" s="99"/>
      <c r="I38" s="99"/>
      <c r="J38" s="99"/>
      <c r="K38" s="99"/>
      <c r="L38" s="168">
        <f>'NCO Sml Comm Cust Fcst'!J25</f>
        <v>2.3787500000000001</v>
      </c>
      <c r="M38" s="99">
        <f>'NCO Sml Comm Cust Fcst'!J26</f>
        <v>4.6737499999999992</v>
      </c>
      <c r="N38" s="99">
        <f>'NCO Sml Comm Cust Fcst'!J27</f>
        <v>2.0162499999999999</v>
      </c>
      <c r="O38" s="99">
        <f>'NCO Sml Comm Cust Fcst'!J28</f>
        <v>0.29125000000000001</v>
      </c>
      <c r="P38" s="100">
        <f t="shared" ref="P38" si="12">SUM(L38:O38)</f>
        <v>9.36</v>
      </c>
    </row>
    <row r="39" spans="1:16">
      <c r="A39" s="11"/>
      <c r="B39" s="166"/>
      <c r="C39" s="95"/>
      <c r="D39" s="95"/>
      <c r="E39" s="95"/>
      <c r="F39" s="96"/>
      <c r="G39" s="95"/>
      <c r="H39" s="95"/>
      <c r="I39" s="95"/>
      <c r="J39" s="95"/>
      <c r="K39" s="95"/>
      <c r="L39" s="166"/>
      <c r="M39" s="95"/>
      <c r="N39" s="95"/>
      <c r="O39" s="95"/>
      <c r="P39" s="96"/>
    </row>
    <row r="40" spans="1:16">
      <c r="A40" s="11" t="s">
        <v>114</v>
      </c>
      <c r="B40" s="119">
        <f>(B33*B37+B34*B38)/B36</f>
        <v>31.469784013432399</v>
      </c>
      <c r="C40" s="32">
        <f t="shared" ref="C40:P40" si="13">(C33*C37+C34*C38)/C36</f>
        <v>75.935534784941837</v>
      </c>
      <c r="D40" s="32">
        <f t="shared" si="13"/>
        <v>213.21355781041953</v>
      </c>
      <c r="E40" s="32">
        <f t="shared" si="13"/>
        <v>385.08468944129095</v>
      </c>
      <c r="F40" s="33">
        <f t="shared" si="13"/>
        <v>99.649513402371099</v>
      </c>
      <c r="G40" s="32"/>
      <c r="H40" s="32"/>
      <c r="I40" s="32"/>
      <c r="J40" s="32"/>
      <c r="K40" s="32"/>
      <c r="L40" s="119">
        <f t="shared" si="13"/>
        <v>31.234582621002996</v>
      </c>
      <c r="M40" s="32">
        <f t="shared" si="13"/>
        <v>75.935534784941837</v>
      </c>
      <c r="N40" s="32">
        <f t="shared" si="13"/>
        <v>213.21355781041953</v>
      </c>
      <c r="O40" s="32">
        <f t="shared" si="13"/>
        <v>385.08468944129095</v>
      </c>
      <c r="P40" s="33">
        <f t="shared" si="13"/>
        <v>99.458940437042244</v>
      </c>
    </row>
    <row r="41" spans="1:16">
      <c r="A41" s="11"/>
      <c r="B41" s="166"/>
      <c r="C41" s="95"/>
      <c r="D41" s="95"/>
      <c r="E41" s="95"/>
      <c r="F41" s="96"/>
      <c r="G41" s="95"/>
      <c r="H41" s="95"/>
      <c r="I41" s="95"/>
      <c r="J41" s="95"/>
      <c r="K41" s="95"/>
      <c r="L41" s="166"/>
      <c r="M41" s="95"/>
      <c r="N41" s="95"/>
      <c r="O41" s="95"/>
      <c r="P41" s="96"/>
    </row>
    <row r="42" spans="1:16">
      <c r="A42" s="39" t="s">
        <v>21</v>
      </c>
      <c r="B42" s="292">
        <v>39.25982737812145</v>
      </c>
      <c r="C42" s="208">
        <v>39.25982737812145</v>
      </c>
      <c r="D42" s="208">
        <v>40.295013037195282</v>
      </c>
      <c r="E42" s="208">
        <v>39.25982737812145</v>
      </c>
      <c r="F42" s="209">
        <v>39.451111684689437</v>
      </c>
      <c r="G42" s="208"/>
      <c r="H42" s="208"/>
      <c r="I42" s="208"/>
      <c r="J42" s="208"/>
      <c r="K42" s="208"/>
      <c r="L42" s="292">
        <v>39.25982737812145</v>
      </c>
      <c r="M42" s="208">
        <v>39.25982737812145</v>
      </c>
      <c r="N42" s="208">
        <v>40.295013037195282</v>
      </c>
      <c r="O42" s="208">
        <v>39.25982737812145</v>
      </c>
      <c r="P42" s="209">
        <v>39.451111684689437</v>
      </c>
    </row>
    <row r="43" spans="1:16">
      <c r="A43" s="39" t="s">
        <v>81</v>
      </c>
      <c r="B43" s="292">
        <v>-3.0284021924274875</v>
      </c>
      <c r="C43" s="208">
        <v>-3.0284021924274875</v>
      </c>
      <c r="D43" s="208">
        <v>-3.0284021924274875</v>
      </c>
      <c r="E43" s="208">
        <v>-3.0284021924274875</v>
      </c>
      <c r="F43" s="209">
        <v>-3.0284021924274875</v>
      </c>
      <c r="G43" s="208"/>
      <c r="H43" s="208"/>
      <c r="I43" s="208"/>
      <c r="J43" s="208"/>
      <c r="K43" s="208"/>
      <c r="L43" s="292">
        <v>-3.0284021924274875</v>
      </c>
      <c r="M43" s="208">
        <v>-3.0284021924274875</v>
      </c>
      <c r="N43" s="208">
        <v>-3.0284021924274875</v>
      </c>
      <c r="O43" s="208">
        <v>-3.0284021924274875</v>
      </c>
      <c r="P43" s="209">
        <v>-3.0284021924274875</v>
      </c>
    </row>
    <row r="44" spans="1:16" ht="15">
      <c r="A44" s="39" t="s">
        <v>22</v>
      </c>
      <c r="B44" s="293">
        <v>36.231425185693965</v>
      </c>
      <c r="C44" s="210">
        <v>36.231425185693965</v>
      </c>
      <c r="D44" s="210">
        <v>37.266610844767797</v>
      </c>
      <c r="E44" s="210">
        <v>36.231425185693965</v>
      </c>
      <c r="F44" s="211">
        <v>36.422709492261951</v>
      </c>
      <c r="G44" s="210"/>
      <c r="H44" s="210"/>
      <c r="I44" s="210"/>
      <c r="J44" s="210"/>
      <c r="K44" s="210"/>
      <c r="L44" s="293">
        <v>36.231425185693965</v>
      </c>
      <c r="M44" s="210">
        <v>36.231425185693965</v>
      </c>
      <c r="N44" s="210">
        <v>37.266610844767797</v>
      </c>
      <c r="O44" s="210">
        <v>36.231425185693965</v>
      </c>
      <c r="P44" s="211">
        <v>36.422709492261951</v>
      </c>
    </row>
    <row r="45" spans="1:16">
      <c r="A45" s="11" t="s">
        <v>115</v>
      </c>
      <c r="B45" s="159">
        <f>B42+B43+B44</f>
        <v>72.46285037138793</v>
      </c>
      <c r="C45" s="101">
        <f t="shared" ref="C45:P45" si="14">C42+C43+C44</f>
        <v>72.46285037138793</v>
      </c>
      <c r="D45" s="101">
        <f t="shared" si="14"/>
        <v>74.533221689535594</v>
      </c>
      <c r="E45" s="101">
        <f t="shared" si="14"/>
        <v>72.46285037138793</v>
      </c>
      <c r="F45" s="102">
        <f t="shared" si="14"/>
        <v>72.845418984523903</v>
      </c>
      <c r="G45" s="101"/>
      <c r="H45" s="101"/>
      <c r="I45" s="101"/>
      <c r="J45" s="101"/>
      <c r="K45" s="101"/>
      <c r="L45" s="159">
        <f t="shared" si="14"/>
        <v>72.46285037138793</v>
      </c>
      <c r="M45" s="101">
        <f t="shared" si="14"/>
        <v>72.46285037138793</v>
      </c>
      <c r="N45" s="101">
        <f t="shared" si="14"/>
        <v>74.533221689535594</v>
      </c>
      <c r="O45" s="101">
        <f t="shared" si="14"/>
        <v>72.46285037138793</v>
      </c>
      <c r="P45" s="102">
        <f t="shared" si="14"/>
        <v>72.845418984523903</v>
      </c>
    </row>
    <row r="46" spans="1:16">
      <c r="A46" s="26"/>
      <c r="B46" s="166"/>
      <c r="C46" s="95"/>
      <c r="D46" s="95"/>
      <c r="E46" s="95"/>
      <c r="F46" s="96"/>
      <c r="G46" s="95"/>
      <c r="H46" s="95"/>
      <c r="I46" s="95"/>
      <c r="J46" s="95"/>
      <c r="K46" s="95"/>
      <c r="L46" s="166"/>
      <c r="M46" s="95"/>
      <c r="N46" s="95"/>
      <c r="O46" s="95"/>
      <c r="P46" s="96"/>
    </row>
    <row r="47" spans="1:16">
      <c r="A47" s="11" t="s">
        <v>116</v>
      </c>
      <c r="B47" s="159">
        <f>B40+B45</f>
        <v>103.93263438482033</v>
      </c>
      <c r="C47" s="101">
        <f t="shared" ref="C47:P47" si="15">C40+C45</f>
        <v>148.39838515632977</v>
      </c>
      <c r="D47" s="101">
        <f t="shared" si="15"/>
        <v>287.7467794999551</v>
      </c>
      <c r="E47" s="101">
        <f t="shared" si="15"/>
        <v>457.54753981267891</v>
      </c>
      <c r="F47" s="102">
        <f t="shared" si="15"/>
        <v>172.49493238689502</v>
      </c>
      <c r="G47" s="101"/>
      <c r="H47" s="101"/>
      <c r="I47" s="101"/>
      <c r="J47" s="101"/>
      <c r="K47" s="101"/>
      <c r="L47" s="159">
        <f t="shared" si="15"/>
        <v>103.69743299239093</v>
      </c>
      <c r="M47" s="101">
        <f t="shared" si="15"/>
        <v>148.39838515632977</v>
      </c>
      <c r="N47" s="101">
        <f t="shared" si="15"/>
        <v>287.7467794999551</v>
      </c>
      <c r="O47" s="101">
        <f t="shared" si="15"/>
        <v>457.54753981267891</v>
      </c>
      <c r="P47" s="102">
        <f t="shared" si="15"/>
        <v>172.30435942156615</v>
      </c>
    </row>
    <row r="48" spans="1:16" ht="13.5" thickBot="1">
      <c r="A48" s="312"/>
      <c r="B48" s="300"/>
      <c r="C48" s="301"/>
      <c r="D48" s="301"/>
      <c r="E48" s="301"/>
      <c r="F48" s="302"/>
      <c r="G48" s="301"/>
      <c r="H48" s="301"/>
      <c r="I48" s="301"/>
      <c r="J48" s="301"/>
      <c r="K48" s="301"/>
      <c r="L48" s="169"/>
      <c r="M48" s="103"/>
      <c r="N48" s="103"/>
      <c r="O48" s="103"/>
      <c r="P48" s="104"/>
    </row>
    <row r="49" spans="1:16">
      <c r="A49" s="193" t="s">
        <v>130</v>
      </c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5"/>
    </row>
    <row r="50" spans="1:16" ht="13.5" thickBot="1">
      <c r="A50" s="169" t="s">
        <v>131</v>
      </c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4"/>
    </row>
    <row r="51" spans="1:16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</row>
    <row r="59" spans="1:16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56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67"/>
  <sheetViews>
    <sheetView topLeftCell="B18" zoomScaleNormal="100" workbookViewId="0">
      <selection activeCell="B43" sqref="B43"/>
    </sheetView>
  </sheetViews>
  <sheetFormatPr defaultColWidth="9.140625" defaultRowHeight="12.75"/>
  <cols>
    <col min="1" max="1" width="60.7109375" style="40" customWidth="1"/>
    <col min="2" max="2" width="10.28515625" style="55" customWidth="1"/>
    <col min="3" max="3" width="17.140625" style="55" bestFit="1" customWidth="1"/>
    <col min="4" max="4" width="8.7109375" style="55" bestFit="1" customWidth="1"/>
    <col min="5" max="5" width="10.42578125" style="55" bestFit="1" customWidth="1"/>
    <col min="6" max="6" width="9.28515625" style="55" bestFit="1" customWidth="1"/>
    <col min="7" max="7" width="17.140625" style="55" bestFit="1" customWidth="1"/>
    <col min="8" max="8" width="10.42578125" style="55" bestFit="1" customWidth="1"/>
    <col min="9" max="9" width="9.7109375" style="55" bestFit="1" customWidth="1"/>
    <col min="10" max="10" width="11.42578125" style="55" bestFit="1" customWidth="1"/>
    <col min="11" max="11" width="17.140625" style="55" bestFit="1" customWidth="1"/>
    <col min="12" max="12" width="11.42578125" style="55" bestFit="1" customWidth="1"/>
    <col min="13" max="13" width="11.28515625" style="55" bestFit="1" customWidth="1"/>
    <col min="14" max="14" width="10.42578125" style="40" bestFit="1" customWidth="1"/>
    <col min="15" max="15" width="17.140625" style="40" bestFit="1" customWidth="1"/>
    <col min="16" max="16" width="11.42578125" style="40" bestFit="1" customWidth="1"/>
    <col min="17" max="17" width="10.42578125" style="40" bestFit="1" customWidth="1"/>
    <col min="18" max="16384" width="9.140625" style="40"/>
  </cols>
  <sheetData>
    <row r="1" spans="1:17" ht="18.75" thickBot="1">
      <c r="A1" s="346" t="s">
        <v>91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7"/>
      <c r="O1" s="347"/>
      <c r="P1" s="347"/>
      <c r="Q1" s="347"/>
    </row>
    <row r="2" spans="1:17" ht="13.5" thickBot="1">
      <c r="A2" s="152"/>
      <c r="B2" s="356" t="s">
        <v>35</v>
      </c>
      <c r="C2" s="357"/>
      <c r="D2" s="357"/>
      <c r="E2" s="358"/>
      <c r="F2" s="348" t="s">
        <v>40</v>
      </c>
      <c r="G2" s="349"/>
      <c r="H2" s="349"/>
      <c r="I2" s="350"/>
      <c r="J2" s="348" t="s">
        <v>70</v>
      </c>
      <c r="K2" s="349"/>
      <c r="L2" s="349"/>
      <c r="M2" s="350"/>
      <c r="N2" s="348" t="s">
        <v>71</v>
      </c>
      <c r="O2" s="349"/>
      <c r="P2" s="349"/>
      <c r="Q2" s="350"/>
    </row>
    <row r="3" spans="1:17" ht="13.5" thickBot="1">
      <c r="A3" s="153" t="s">
        <v>0</v>
      </c>
      <c r="B3" s="170" t="s">
        <v>48</v>
      </c>
      <c r="C3" s="111" t="s">
        <v>49</v>
      </c>
      <c r="D3" s="111" t="s">
        <v>50</v>
      </c>
      <c r="E3" s="274" t="s">
        <v>36</v>
      </c>
      <c r="F3" s="170" t="s">
        <v>48</v>
      </c>
      <c r="G3" s="111" t="s">
        <v>49</v>
      </c>
      <c r="H3" s="111" t="s">
        <v>50</v>
      </c>
      <c r="I3" s="274" t="s">
        <v>36</v>
      </c>
      <c r="J3" s="170" t="s">
        <v>48</v>
      </c>
      <c r="K3" s="111" t="s">
        <v>49</v>
      </c>
      <c r="L3" s="111" t="s">
        <v>50</v>
      </c>
      <c r="M3" s="274" t="s">
        <v>36</v>
      </c>
      <c r="N3" s="170" t="s">
        <v>48</v>
      </c>
      <c r="O3" s="111" t="s">
        <v>49</v>
      </c>
      <c r="P3" s="111" t="s">
        <v>50</v>
      </c>
      <c r="Q3" s="274" t="s">
        <v>36</v>
      </c>
    </row>
    <row r="4" spans="1:17">
      <c r="A4" s="43"/>
      <c r="B4" s="113"/>
      <c r="C4" s="44"/>
      <c r="D4" s="44"/>
      <c r="E4" s="45"/>
      <c r="F4" s="113"/>
      <c r="G4" s="44"/>
      <c r="H4" s="44"/>
      <c r="I4" s="45"/>
      <c r="J4" s="44"/>
      <c r="K4" s="44"/>
      <c r="L4" s="44"/>
      <c r="M4" s="44"/>
      <c r="N4" s="113"/>
      <c r="O4" s="44"/>
      <c r="P4" s="44"/>
      <c r="Q4" s="45"/>
    </row>
    <row r="5" spans="1:17">
      <c r="A5" s="46"/>
      <c r="B5" s="112"/>
      <c r="C5" s="47"/>
      <c r="D5" s="47"/>
      <c r="E5" s="48"/>
      <c r="F5" s="112"/>
      <c r="G5" s="47"/>
      <c r="H5" s="47"/>
      <c r="I5" s="48"/>
      <c r="J5" s="47"/>
      <c r="K5" s="47"/>
      <c r="L5" s="47"/>
      <c r="M5" s="47"/>
      <c r="N5" s="112"/>
      <c r="O5" s="47"/>
      <c r="P5" s="47"/>
      <c r="Q5" s="48"/>
    </row>
    <row r="6" spans="1:17">
      <c r="A6" s="46" t="s">
        <v>13</v>
      </c>
      <c r="B6" s="90"/>
      <c r="C6" s="23"/>
      <c r="D6" s="23"/>
      <c r="E6" s="24"/>
      <c r="F6" s="90"/>
      <c r="G6" s="23"/>
      <c r="H6" s="23"/>
      <c r="I6" s="24"/>
      <c r="J6" s="23"/>
      <c r="K6" s="23"/>
      <c r="L6" s="23"/>
      <c r="M6" s="23"/>
      <c r="N6" s="90"/>
      <c r="O6" s="23"/>
      <c r="P6" s="23"/>
      <c r="Q6" s="24"/>
    </row>
    <row r="7" spans="1:17">
      <c r="A7" s="49"/>
      <c r="B7" s="90"/>
      <c r="C7" s="23"/>
      <c r="D7" s="23"/>
      <c r="E7" s="24"/>
      <c r="F7" s="90"/>
      <c r="G7" s="23"/>
      <c r="H7" s="23"/>
      <c r="I7" s="24"/>
      <c r="J7" s="23"/>
      <c r="K7" s="23"/>
      <c r="L7" s="23"/>
      <c r="M7" s="23"/>
      <c r="N7" s="90"/>
      <c r="O7" s="23"/>
      <c r="P7" s="23"/>
      <c r="Q7" s="24"/>
    </row>
    <row r="8" spans="1:17">
      <c r="A8" s="46" t="s">
        <v>14</v>
      </c>
      <c r="B8" s="212">
        <v>13154.247854797635</v>
      </c>
      <c r="C8" s="213">
        <v>28884.477777157823</v>
      </c>
      <c r="D8" s="213"/>
      <c r="E8" s="214">
        <v>13604.177423534007</v>
      </c>
      <c r="F8" s="212">
        <v>0</v>
      </c>
      <c r="G8" s="213">
        <v>0</v>
      </c>
      <c r="H8" s="213"/>
      <c r="I8" s="214">
        <v>0</v>
      </c>
      <c r="J8" s="213"/>
      <c r="K8" s="213"/>
      <c r="L8" s="213"/>
      <c r="M8" s="213"/>
      <c r="N8" s="212">
        <v>12556.973898147366</v>
      </c>
      <c r="O8" s="213">
        <v>17465.033074560542</v>
      </c>
      <c r="P8" s="213"/>
      <c r="Q8" s="214">
        <v>12774.997188008691</v>
      </c>
    </row>
    <row r="9" spans="1:17">
      <c r="A9" s="46" t="s">
        <v>15</v>
      </c>
      <c r="B9" s="212">
        <v>2610.434488458824</v>
      </c>
      <c r="C9" s="213">
        <v>7182.7881315781187</v>
      </c>
      <c r="D9" s="213"/>
      <c r="E9" s="214">
        <v>2741.2168808912788</v>
      </c>
      <c r="F9" s="212">
        <v>3396.4220443713425</v>
      </c>
      <c r="G9" s="213">
        <v>3396.4220443713421</v>
      </c>
      <c r="H9" s="213"/>
      <c r="I9" s="214">
        <v>3396.422044371343</v>
      </c>
      <c r="J9" s="213"/>
      <c r="K9" s="213"/>
      <c r="L9" s="213"/>
      <c r="M9" s="213"/>
      <c r="N9" s="212">
        <v>2646.1225720786356</v>
      </c>
      <c r="O9" s="213">
        <v>5685.8527017521856</v>
      </c>
      <c r="P9" s="213"/>
      <c r="Q9" s="214">
        <v>2781.1519063513242</v>
      </c>
    </row>
    <row r="10" spans="1:17">
      <c r="A10" s="46" t="s">
        <v>16</v>
      </c>
      <c r="B10" s="212">
        <v>716.91663228276536</v>
      </c>
      <c r="C10" s="213">
        <v>939.38301028660806</v>
      </c>
      <c r="D10" s="213"/>
      <c r="E10" s="214">
        <v>723.27980701114814</v>
      </c>
      <c r="F10" s="212">
        <v>1042.3085561790569</v>
      </c>
      <c r="G10" s="213">
        <v>1050.2259058630914</v>
      </c>
      <c r="H10" s="213"/>
      <c r="I10" s="214">
        <v>1044.5898264269988</v>
      </c>
      <c r="J10" s="213"/>
      <c r="K10" s="213"/>
      <c r="L10" s="213"/>
      <c r="M10" s="213"/>
      <c r="N10" s="212">
        <v>731.69118450292126</v>
      </c>
      <c r="O10" s="213">
        <v>983.20462016568285</v>
      </c>
      <c r="P10" s="213"/>
      <c r="Q10" s="214">
        <v>742.8637854672794</v>
      </c>
    </row>
    <row r="11" spans="1:17">
      <c r="A11" s="11" t="s">
        <v>83</v>
      </c>
      <c r="B11" s="288">
        <v>707.93763763355173</v>
      </c>
      <c r="C11" s="206">
        <v>928.11620551141755</v>
      </c>
      <c r="D11" s="206"/>
      <c r="E11" s="206">
        <v>714.23537444854037</v>
      </c>
      <c r="F11" s="288">
        <v>1030.3899113412165</v>
      </c>
      <c r="G11" s="206">
        <v>1038.2571194819702</v>
      </c>
      <c r="H11" s="206"/>
      <c r="I11" s="207">
        <v>1032.6567340258405</v>
      </c>
      <c r="J11" s="206"/>
      <c r="K11" s="206"/>
      <c r="L11" s="206"/>
      <c r="M11" s="206"/>
      <c r="N11" s="288">
        <v>722.57871384514328</v>
      </c>
      <c r="O11" s="206">
        <v>971.66028777884537</v>
      </c>
      <c r="P11" s="206"/>
      <c r="Q11" s="207">
        <v>733.64328789385149</v>
      </c>
    </row>
    <row r="12" spans="1:17">
      <c r="A12" s="50"/>
      <c r="B12" s="90"/>
      <c r="C12" s="23"/>
      <c r="D12" s="23"/>
      <c r="E12" s="115"/>
      <c r="F12" s="90"/>
      <c r="G12" s="23"/>
      <c r="H12" s="23"/>
      <c r="I12" s="24"/>
      <c r="J12" s="23"/>
      <c r="K12" s="23"/>
      <c r="L12" s="23"/>
      <c r="M12" s="23"/>
      <c r="N12" s="90"/>
      <c r="O12" s="23"/>
      <c r="P12" s="23"/>
      <c r="Q12" s="24"/>
    </row>
    <row r="13" spans="1:17">
      <c r="A13" s="46" t="s">
        <v>17</v>
      </c>
      <c r="B13" s="90">
        <f t="shared" ref="B13:I13" si="0">SUM(B8:B10)</f>
        <v>16481.598975539226</v>
      </c>
      <c r="C13" s="23">
        <f t="shared" si="0"/>
        <v>37006.648919022547</v>
      </c>
      <c r="D13" s="23"/>
      <c r="E13" s="24">
        <f t="shared" si="0"/>
        <v>17068.674111436434</v>
      </c>
      <c r="F13" s="90">
        <f t="shared" si="0"/>
        <v>4438.7306005503997</v>
      </c>
      <c r="G13" s="23">
        <f t="shared" si="0"/>
        <v>4446.6479502344337</v>
      </c>
      <c r="H13" s="23"/>
      <c r="I13" s="24">
        <f t="shared" si="0"/>
        <v>4441.011870798342</v>
      </c>
      <c r="J13" s="23"/>
      <c r="K13" s="23"/>
      <c r="L13" s="23"/>
      <c r="M13" s="23"/>
      <c r="N13" s="90">
        <f t="shared" ref="N13:Q13" si="1">SUM(N8:N10)</f>
        <v>15934.787654728922</v>
      </c>
      <c r="O13" s="23">
        <f t="shared" si="1"/>
        <v>24134.090396478408</v>
      </c>
      <c r="P13" s="23"/>
      <c r="Q13" s="24">
        <f t="shared" si="1"/>
        <v>16299.012879827294</v>
      </c>
    </row>
    <row r="14" spans="1:17">
      <c r="A14" s="11" t="s">
        <v>82</v>
      </c>
      <c r="B14" s="90">
        <f>B8+B9+B11</f>
        <v>16472.619980890013</v>
      </c>
      <c r="C14" s="23">
        <f t="shared" ref="C14:Q14" si="2">C8+C9+C11</f>
        <v>36995.382114247361</v>
      </c>
      <c r="D14" s="23"/>
      <c r="E14" s="24">
        <f t="shared" si="2"/>
        <v>17059.629678873825</v>
      </c>
      <c r="F14" s="90">
        <f>F8+F9+F11</f>
        <v>4426.8119557125592</v>
      </c>
      <c r="G14" s="23">
        <f t="shared" si="2"/>
        <v>4434.6791638533123</v>
      </c>
      <c r="H14" s="23"/>
      <c r="I14" s="24">
        <f t="shared" si="2"/>
        <v>4429.0787783971837</v>
      </c>
      <c r="J14" s="23"/>
      <c r="K14" s="23"/>
      <c r="L14" s="23"/>
      <c r="M14" s="23"/>
      <c r="N14" s="90">
        <f>N8+N9+N11</f>
        <v>15925.675184071144</v>
      </c>
      <c r="O14" s="23">
        <f t="shared" si="2"/>
        <v>24122.546064091573</v>
      </c>
      <c r="P14" s="23"/>
      <c r="Q14" s="24">
        <f t="shared" si="2"/>
        <v>16289.792382253867</v>
      </c>
    </row>
    <row r="15" spans="1:17">
      <c r="A15" s="11"/>
      <c r="B15" s="90"/>
      <c r="C15" s="23"/>
      <c r="D15" s="23"/>
      <c r="E15" s="24"/>
      <c r="F15" s="90"/>
      <c r="G15" s="23"/>
      <c r="H15" s="23"/>
      <c r="I15" s="24"/>
      <c r="J15" s="23"/>
      <c r="K15" s="23"/>
      <c r="L15" s="23"/>
      <c r="M15" s="23"/>
      <c r="N15" s="90"/>
      <c r="O15" s="23"/>
      <c r="P15" s="23"/>
      <c r="Q15" s="24"/>
    </row>
    <row r="16" spans="1:17">
      <c r="A16" s="46" t="s">
        <v>25</v>
      </c>
      <c r="B16" s="90"/>
      <c r="C16" s="23"/>
      <c r="D16" s="23"/>
      <c r="E16" s="24"/>
      <c r="F16" s="90"/>
      <c r="G16" s="23"/>
      <c r="H16" s="23"/>
      <c r="I16" s="24"/>
      <c r="J16" s="23"/>
      <c r="K16" s="23"/>
      <c r="L16" s="23"/>
      <c r="M16" s="23"/>
      <c r="N16" s="90"/>
      <c r="O16" s="23"/>
      <c r="P16" s="23"/>
      <c r="Q16" s="24"/>
    </row>
    <row r="17" spans="1:17">
      <c r="A17" s="51">
        <f>Input!B3</f>
        <v>2.7723662892949787E-2</v>
      </c>
      <c r="B17" s="90"/>
      <c r="C17" s="23"/>
      <c r="D17" s="23"/>
      <c r="E17" s="24"/>
      <c r="F17" s="90"/>
      <c r="G17" s="23"/>
      <c r="H17" s="23"/>
      <c r="I17" s="24"/>
      <c r="J17" s="23"/>
      <c r="K17" s="23"/>
      <c r="L17" s="23"/>
      <c r="M17" s="23"/>
      <c r="N17" s="90"/>
      <c r="O17" s="23"/>
      <c r="P17" s="23"/>
      <c r="Q17" s="24"/>
    </row>
    <row r="18" spans="1:17">
      <c r="A18" s="46" t="s">
        <v>26</v>
      </c>
      <c r="B18" s="90"/>
      <c r="C18" s="23"/>
      <c r="D18" s="23"/>
      <c r="E18" s="24"/>
      <c r="F18" s="90"/>
      <c r="G18" s="23"/>
      <c r="H18" s="23"/>
      <c r="I18" s="24"/>
      <c r="J18" s="23"/>
      <c r="K18" s="23"/>
      <c r="L18" s="23"/>
      <c r="M18" s="23"/>
      <c r="N18" s="90"/>
      <c r="O18" s="23"/>
      <c r="P18" s="23"/>
      <c r="Q18" s="24"/>
    </row>
    <row r="19" spans="1:17">
      <c r="A19" s="51">
        <f>Input!B4</f>
        <v>1.5023E-2</v>
      </c>
      <c r="B19" s="90"/>
      <c r="C19" s="23"/>
      <c r="D19" s="23"/>
      <c r="E19" s="24"/>
      <c r="F19" s="90"/>
      <c r="G19" s="23"/>
      <c r="H19" s="23"/>
      <c r="I19" s="24"/>
      <c r="J19" s="23"/>
      <c r="K19" s="23"/>
      <c r="L19" s="23"/>
      <c r="M19" s="23"/>
      <c r="N19" s="90"/>
      <c r="O19" s="23"/>
      <c r="P19" s="23"/>
      <c r="Q19" s="24"/>
    </row>
    <row r="20" spans="1:17">
      <c r="A20" s="20" t="s">
        <v>27</v>
      </c>
      <c r="B20" s="90">
        <f t="shared" ref="B20:C22" si="3">(B8*(1+$A$17)*(1+$A$19))</f>
        <v>13722.02670018449</v>
      </c>
      <c r="C20" s="23">
        <f t="shared" si="3"/>
        <v>30131.22298242895</v>
      </c>
      <c r="D20" s="23"/>
      <c r="E20" s="24">
        <f t="shared" ref="E20:Q20" si="4">(E8*(1+$A$17)*(1+$A$19))</f>
        <v>14191.376648851545</v>
      </c>
      <c r="F20" s="90">
        <f t="shared" si="4"/>
        <v>0</v>
      </c>
      <c r="G20" s="23">
        <f t="shared" si="4"/>
        <v>0</v>
      </c>
      <c r="H20" s="23"/>
      <c r="I20" s="24">
        <f t="shared" si="4"/>
        <v>0</v>
      </c>
      <c r="J20" s="23"/>
      <c r="K20" s="23"/>
      <c r="L20" s="23"/>
      <c r="M20" s="23"/>
      <c r="N20" s="90">
        <f t="shared" si="4"/>
        <v>13098.972514878818</v>
      </c>
      <c r="O20" s="23">
        <f t="shared" si="4"/>
        <v>18218.879012631456</v>
      </c>
      <c r="P20" s="23"/>
      <c r="Q20" s="24">
        <f t="shared" si="4"/>
        <v>13326.406377898817</v>
      </c>
    </row>
    <row r="21" spans="1:17">
      <c r="A21" s="20" t="s">
        <v>15</v>
      </c>
      <c r="B21" s="90">
        <f t="shared" si="3"/>
        <v>2723.1090781560683</v>
      </c>
      <c r="C21" s="23">
        <f t="shared" si="3"/>
        <v>7492.8199324855659</v>
      </c>
      <c r="D21" s="23"/>
      <c r="E21" s="24">
        <f t="shared" ref="E21:Q21" si="5">(E9*(1+$A$17)*(1+$A$19))</f>
        <v>2859.5364513272084</v>
      </c>
      <c r="F21" s="90">
        <f t="shared" si="5"/>
        <v>3543.0223371502479</v>
      </c>
      <c r="G21" s="23">
        <f t="shared" si="5"/>
        <v>3543.0223371502475</v>
      </c>
      <c r="H21" s="23"/>
      <c r="I21" s="24">
        <f t="shared" si="5"/>
        <v>3543.0223371502484</v>
      </c>
      <c r="J21" s="23"/>
      <c r="K21" s="23"/>
      <c r="L21" s="23"/>
      <c r="M21" s="23"/>
      <c r="N21" s="90">
        <f t="shared" si="5"/>
        <v>2760.3375720779663</v>
      </c>
      <c r="O21" s="23">
        <f t="shared" si="5"/>
        <v>5931.2720459576512</v>
      </c>
      <c r="P21" s="23"/>
      <c r="Q21" s="24">
        <f t="shared" si="5"/>
        <v>2901.1951985003075</v>
      </c>
    </row>
    <row r="22" spans="1:17">
      <c r="A22" s="20" t="s">
        <v>16</v>
      </c>
      <c r="B22" s="90">
        <f t="shared" si="3"/>
        <v>747.86101634860779</v>
      </c>
      <c r="C22" s="23">
        <f t="shared" si="3"/>
        <v>979.9297452154342</v>
      </c>
      <c r="D22" s="23"/>
      <c r="E22" s="24">
        <f t="shared" ref="E22:Q22" si="6">(E10*(1+$A$17)*(1+$A$19))</f>
        <v>754.49884577714181</v>
      </c>
      <c r="F22" s="90">
        <f t="shared" si="6"/>
        <v>1087.2978824481634</v>
      </c>
      <c r="G22" s="23">
        <f t="shared" si="6"/>
        <v>1095.5569699276041</v>
      </c>
      <c r="H22" s="23"/>
      <c r="I22" s="24">
        <f t="shared" si="6"/>
        <v>1089.6776195185107</v>
      </c>
      <c r="J22" s="23"/>
      <c r="K22" s="23"/>
      <c r="L22" s="23"/>
      <c r="M22" s="23"/>
      <c r="N22" s="90">
        <f t="shared" si="6"/>
        <v>763.27328486339832</v>
      </c>
      <c r="O22" s="23">
        <f t="shared" si="6"/>
        <v>1025.6428340551292</v>
      </c>
      <c r="P22" s="23"/>
      <c r="Q22" s="24">
        <f t="shared" si="6"/>
        <v>774.92813054030364</v>
      </c>
    </row>
    <row r="23" spans="1:17">
      <c r="A23" s="11" t="s">
        <v>83</v>
      </c>
      <c r="B23" s="90">
        <f>(B11*(1+$A$17)*(1+$A$19))</f>
        <v>738.49445995729081</v>
      </c>
      <c r="C23" s="23">
        <f t="shared" ref="C23:Q23" si="7">(C11*(1+$A$17)*(1+$A$19))</f>
        <v>968.17662959396262</v>
      </c>
      <c r="D23" s="23"/>
      <c r="E23" s="24">
        <f t="shared" si="7"/>
        <v>745.06402696560053</v>
      </c>
      <c r="F23" s="90">
        <f>(F11*(1+$A$17)*(1+$A$19))</f>
        <v>1074.8647912900692</v>
      </c>
      <c r="G23" s="23">
        <f t="shared" si="7"/>
        <v>1083.0715729590006</v>
      </c>
      <c r="H23" s="23"/>
      <c r="I23" s="24">
        <f t="shared" si="7"/>
        <v>1077.2294571946766</v>
      </c>
      <c r="J23" s="23"/>
      <c r="K23" s="23"/>
      <c r="L23" s="23"/>
      <c r="M23" s="23"/>
      <c r="N23" s="90">
        <f>(N11*(1+$A$17)*(1+$A$19))</f>
        <v>753.76749121780631</v>
      </c>
      <c r="O23" s="23">
        <f t="shared" si="7"/>
        <v>1013.600211854559</v>
      </c>
      <c r="P23" s="23"/>
      <c r="Q23" s="24">
        <f t="shared" si="7"/>
        <v>765.30964719650547</v>
      </c>
    </row>
    <row r="24" spans="1:17">
      <c r="A24" s="46"/>
      <c r="B24" s="165"/>
      <c r="C24" s="91"/>
      <c r="D24" s="91"/>
      <c r="E24" s="92"/>
      <c r="F24" s="165"/>
      <c r="G24" s="91"/>
      <c r="H24" s="91"/>
      <c r="I24" s="92"/>
      <c r="J24" s="91"/>
      <c r="K24" s="91"/>
      <c r="L24" s="91"/>
      <c r="M24" s="91"/>
      <c r="N24" s="165"/>
      <c r="O24" s="91"/>
      <c r="P24" s="91"/>
      <c r="Q24" s="92"/>
    </row>
    <row r="25" spans="1:17">
      <c r="A25" s="46" t="s">
        <v>17</v>
      </c>
      <c r="B25" s="165">
        <f t="shared" ref="B25:Q25" si="8">B20+B21+B22</f>
        <v>17192.996794689167</v>
      </c>
      <c r="C25" s="91">
        <f t="shared" si="8"/>
        <v>38603.972660129948</v>
      </c>
      <c r="D25" s="91"/>
      <c r="E25" s="92">
        <f t="shared" si="8"/>
        <v>17805.411945955897</v>
      </c>
      <c r="F25" s="165">
        <f t="shared" si="8"/>
        <v>4630.3202195984113</v>
      </c>
      <c r="G25" s="91">
        <f t="shared" si="8"/>
        <v>4638.5793070778518</v>
      </c>
      <c r="H25" s="91"/>
      <c r="I25" s="92">
        <f t="shared" si="8"/>
        <v>4632.6999566687591</v>
      </c>
      <c r="J25" s="91"/>
      <c r="K25" s="91"/>
      <c r="L25" s="91"/>
      <c r="M25" s="91"/>
      <c r="N25" s="165">
        <f t="shared" si="8"/>
        <v>16622.583371820183</v>
      </c>
      <c r="O25" s="91">
        <f t="shared" si="8"/>
        <v>25175.793892644237</v>
      </c>
      <c r="P25" s="91"/>
      <c r="Q25" s="92">
        <f t="shared" si="8"/>
        <v>17002.529706939426</v>
      </c>
    </row>
    <row r="26" spans="1:17">
      <c r="A26" s="11" t="s">
        <v>82</v>
      </c>
      <c r="B26" s="90">
        <f>B20+B21+B23</f>
        <v>17183.63023829785</v>
      </c>
      <c r="C26" s="23">
        <f t="shared" ref="C26:E26" si="9">C20+C21+C23</f>
        <v>38592.219544508473</v>
      </c>
      <c r="D26" s="23"/>
      <c r="E26" s="24">
        <f t="shared" si="9"/>
        <v>17795.977127144353</v>
      </c>
      <c r="F26" s="90">
        <f>F20+F21+F23</f>
        <v>4617.8871284403176</v>
      </c>
      <c r="G26" s="23">
        <f t="shared" ref="G26:I26" si="10">G20+G21+G23</f>
        <v>4626.0939101092481</v>
      </c>
      <c r="H26" s="23"/>
      <c r="I26" s="24">
        <f t="shared" si="10"/>
        <v>4620.2517943449247</v>
      </c>
      <c r="J26" s="23"/>
      <c r="K26" s="23"/>
      <c r="L26" s="23"/>
      <c r="M26" s="23"/>
      <c r="N26" s="90">
        <f>N20+N21+N23</f>
        <v>16613.077578174591</v>
      </c>
      <c r="O26" s="23">
        <f t="shared" ref="O26:Q26" si="11">O20+O21+O23</f>
        <v>25163.751270443667</v>
      </c>
      <c r="P26" s="23"/>
      <c r="Q26" s="24">
        <f t="shared" si="11"/>
        <v>16992.911223595627</v>
      </c>
    </row>
    <row r="27" spans="1:17">
      <c r="A27" s="46"/>
      <c r="B27" s="165"/>
      <c r="C27" s="91"/>
      <c r="D27" s="91"/>
      <c r="E27" s="92"/>
      <c r="F27" s="165"/>
      <c r="G27" s="91"/>
      <c r="H27" s="91"/>
      <c r="I27" s="92"/>
      <c r="J27" s="91"/>
      <c r="K27" s="91"/>
      <c r="L27" s="91"/>
      <c r="M27" s="91"/>
      <c r="N27" s="165"/>
      <c r="O27" s="91"/>
      <c r="P27" s="91"/>
      <c r="Q27" s="92"/>
    </row>
    <row r="28" spans="1:17">
      <c r="A28" s="20" t="s">
        <v>20</v>
      </c>
      <c r="B28" s="165"/>
      <c r="C28" s="91"/>
      <c r="D28" s="91"/>
      <c r="E28" s="92"/>
      <c r="F28" s="165"/>
      <c r="G28" s="91"/>
      <c r="H28" s="91"/>
      <c r="I28" s="92"/>
      <c r="J28" s="91"/>
      <c r="K28" s="91"/>
      <c r="L28" s="91"/>
      <c r="M28" s="91"/>
      <c r="N28" s="165"/>
      <c r="O28" s="91"/>
      <c r="P28" s="91"/>
      <c r="Q28" s="92"/>
    </row>
    <row r="29" spans="1:17">
      <c r="A29" s="20" t="s">
        <v>120</v>
      </c>
      <c r="B29" s="165">
        <f>B20*Input!$B$8</f>
        <v>16982.437522023632</v>
      </c>
      <c r="C29" s="91">
        <f>C20*Input!$B$8</f>
        <v>37290.527335468782</v>
      </c>
      <c r="D29" s="91"/>
      <c r="E29" s="92">
        <f>E20*Input!$B$8</f>
        <v>17563.306977633722</v>
      </c>
      <c r="F29" s="165">
        <f>F20*Input!$B$8</f>
        <v>0</v>
      </c>
      <c r="G29" s="91">
        <f>G20*Input!$B$8</f>
        <v>0</v>
      </c>
      <c r="H29" s="91"/>
      <c r="I29" s="92">
        <f>I20*Input!$B$8</f>
        <v>0</v>
      </c>
      <c r="J29" s="91"/>
      <c r="K29" s="91"/>
      <c r="L29" s="91"/>
      <c r="M29" s="91"/>
      <c r="N29" s="165">
        <f>N20*Input!$B$8</f>
        <v>16211.343061564185</v>
      </c>
      <c r="O29" s="91">
        <f>O20*Input!$B$8</f>
        <v>22547.760714469496</v>
      </c>
      <c r="P29" s="91"/>
      <c r="Q29" s="92">
        <f>Q20*Input!$B$8</f>
        <v>16492.81615978208</v>
      </c>
    </row>
    <row r="30" spans="1:17">
      <c r="A30" s="20" t="s">
        <v>121</v>
      </c>
      <c r="B30" s="165">
        <f>B21*Input!$B$9</f>
        <v>3356.8942567427398</v>
      </c>
      <c r="C30" s="91">
        <f>C21*Input!$B$9</f>
        <v>9236.7229796024949</v>
      </c>
      <c r="D30" s="91"/>
      <c r="E30" s="92">
        <f>E21*Input!$B$9</f>
        <v>3525.0741762084745</v>
      </c>
      <c r="F30" s="165">
        <f>F21*Input!$B$9</f>
        <v>4367.6367687571774</v>
      </c>
      <c r="G30" s="91">
        <f>G21*Input!$B$9</f>
        <v>4367.6367687571774</v>
      </c>
      <c r="H30" s="91"/>
      <c r="I30" s="92">
        <f>I21*Input!$B$9</f>
        <v>4367.6367687571783</v>
      </c>
      <c r="J30" s="91"/>
      <c r="K30" s="91"/>
      <c r="L30" s="91"/>
      <c r="M30" s="91"/>
      <c r="N30" s="165">
        <f>N21*Input!$B$9</f>
        <v>3402.7874302612336</v>
      </c>
      <c r="O30" s="91">
        <f>O21*Input!$B$9</f>
        <v>7311.7354078729522</v>
      </c>
      <c r="P30" s="91"/>
      <c r="Q30" s="92">
        <f>Q21*Input!$B$9</f>
        <v>3576.4287143906795</v>
      </c>
    </row>
    <row r="31" spans="1:17">
      <c r="A31" s="20" t="s">
        <v>136</v>
      </c>
      <c r="B31" s="165">
        <f>B22*Input!$B$13</f>
        <v>805.26409981255063</v>
      </c>
      <c r="C31" s="91">
        <f>C22*Input!$B$13</f>
        <v>1055.1455777347496</v>
      </c>
      <c r="D31" s="91"/>
      <c r="E31" s="92">
        <f>E22*Input!$B$13</f>
        <v>812.41142481362556</v>
      </c>
      <c r="F31" s="165">
        <f>F22*Input!$B$13</f>
        <v>1170.754901509104</v>
      </c>
      <c r="G31" s="91">
        <f>G22*Input!$B$13</f>
        <v>1179.6479264148238</v>
      </c>
      <c r="H31" s="91"/>
      <c r="I31" s="92">
        <f>I22*Input!$B$13</f>
        <v>1173.3172985158369</v>
      </c>
      <c r="J31" s="91"/>
      <c r="K31" s="91"/>
      <c r="L31" s="91"/>
      <c r="M31" s="91"/>
      <c r="N31" s="165">
        <f>N22*Input!$B$13</f>
        <v>821.85935783552918</v>
      </c>
      <c r="O31" s="91">
        <f>O22*Input!$B$13</f>
        <v>1104.367436515244</v>
      </c>
      <c r="P31" s="91"/>
      <c r="Q31" s="92">
        <f>Q22*Input!$B$13</f>
        <v>834.40878695043375</v>
      </c>
    </row>
    <row r="32" spans="1:17">
      <c r="A32" s="20" t="s">
        <v>137</v>
      </c>
      <c r="B32" s="165">
        <f>B23*Input!$B$13</f>
        <v>795.17860072125768</v>
      </c>
      <c r="C32" s="91">
        <f>C23*Input!$B$13</f>
        <v>1042.4903358328165</v>
      </c>
      <c r="D32" s="91"/>
      <c r="E32" s="92">
        <f>E23*Input!$B$13</f>
        <v>802.25242372774892</v>
      </c>
      <c r="F32" s="165">
        <f>F23*Input!$B$13</f>
        <v>1157.3674916288662</v>
      </c>
      <c r="G32" s="91">
        <f>G23*Input!$B$13</f>
        <v>1166.2041959208702</v>
      </c>
      <c r="H32" s="91"/>
      <c r="I32" s="92">
        <f>I23*Input!$B$13</f>
        <v>1159.9136606621555</v>
      </c>
      <c r="J32" s="91"/>
      <c r="K32" s="91"/>
      <c r="L32" s="91"/>
      <c r="M32" s="91"/>
      <c r="N32" s="165">
        <f>N23*Input!$B$13</f>
        <v>811.62393414625194</v>
      </c>
      <c r="O32" s="91">
        <f>O23*Input!$B$13</f>
        <v>1091.4004665653028</v>
      </c>
      <c r="P32" s="91"/>
      <c r="Q32" s="92">
        <f>Q23*Input!$B$13</f>
        <v>824.05202391280113</v>
      </c>
    </row>
    <row r="33" spans="1:17">
      <c r="A33" s="46"/>
      <c r="B33" s="90"/>
      <c r="C33" s="23"/>
      <c r="D33" s="23"/>
      <c r="E33" s="24"/>
      <c r="F33" s="90"/>
      <c r="G33" s="23"/>
      <c r="H33" s="23"/>
      <c r="I33" s="24"/>
      <c r="J33" s="23"/>
      <c r="K33" s="23"/>
      <c r="L33" s="23"/>
      <c r="M33" s="23"/>
      <c r="N33" s="90"/>
      <c r="O33" s="23"/>
      <c r="P33" s="23"/>
      <c r="Q33" s="24"/>
    </row>
    <row r="34" spans="1:17">
      <c r="A34" s="11" t="s">
        <v>17</v>
      </c>
      <c r="B34" s="167">
        <f>SUM(B29:B31)</f>
        <v>21144.595878578923</v>
      </c>
      <c r="C34" s="97">
        <f t="shared" ref="C34:E34" si="12">SUM(C29:C31)</f>
        <v>47582.395892806024</v>
      </c>
      <c r="D34" s="97"/>
      <c r="E34" s="98">
        <f t="shared" si="12"/>
        <v>21900.792578655819</v>
      </c>
      <c r="F34" s="167">
        <f>SUM(F29:F31)</f>
        <v>5538.3916702662809</v>
      </c>
      <c r="G34" s="97">
        <f t="shared" ref="G34:Q34" si="13">SUM(G29:G31)</f>
        <v>5547.2846951720012</v>
      </c>
      <c r="H34" s="97"/>
      <c r="I34" s="98">
        <f t="shared" si="13"/>
        <v>5540.9540672730154</v>
      </c>
      <c r="J34" s="97"/>
      <c r="K34" s="97"/>
      <c r="L34" s="97"/>
      <c r="M34" s="97"/>
      <c r="N34" s="167">
        <f>SUM(N29:N31)</f>
        <v>20435.989849660946</v>
      </c>
      <c r="O34" s="97">
        <f t="shared" si="13"/>
        <v>30963.863558857691</v>
      </c>
      <c r="P34" s="97"/>
      <c r="Q34" s="98">
        <f t="shared" si="13"/>
        <v>20903.653661123193</v>
      </c>
    </row>
    <row r="35" spans="1:17">
      <c r="A35" s="11" t="s">
        <v>82</v>
      </c>
      <c r="B35" s="167">
        <f>B29+B30+B32</f>
        <v>21134.51037948763</v>
      </c>
      <c r="C35" s="97">
        <f>C29+C30+C32</f>
        <v>47569.740650904088</v>
      </c>
      <c r="D35" s="97"/>
      <c r="E35" s="98">
        <f t="shared" ref="E35:Q35" si="14">E29+E30+E32</f>
        <v>21890.633577569944</v>
      </c>
      <c r="F35" s="167">
        <f t="shared" si="14"/>
        <v>5525.0042603860438</v>
      </c>
      <c r="G35" s="97">
        <f t="shared" si="14"/>
        <v>5533.8409646780474</v>
      </c>
      <c r="H35" s="97"/>
      <c r="I35" s="98">
        <f t="shared" si="14"/>
        <v>5527.5504294193343</v>
      </c>
      <c r="J35" s="97"/>
      <c r="K35" s="97"/>
      <c r="L35" s="97"/>
      <c r="M35" s="97"/>
      <c r="N35" s="167">
        <f t="shared" si="14"/>
        <v>20425.754425971671</v>
      </c>
      <c r="O35" s="97">
        <f t="shared" si="14"/>
        <v>30950.896588907752</v>
      </c>
      <c r="P35" s="97"/>
      <c r="Q35" s="98">
        <f t="shared" si="14"/>
        <v>20893.296898085562</v>
      </c>
    </row>
    <row r="36" spans="1:17">
      <c r="A36" s="46"/>
      <c r="B36" s="90"/>
      <c r="C36" s="23"/>
      <c r="D36" s="23"/>
      <c r="E36" s="24"/>
      <c r="F36" s="90"/>
      <c r="G36" s="23"/>
      <c r="H36" s="23"/>
      <c r="I36" s="24"/>
      <c r="J36" s="23"/>
      <c r="K36" s="23"/>
      <c r="L36" s="23"/>
      <c r="M36" s="23"/>
      <c r="N36" s="90"/>
      <c r="O36" s="23"/>
      <c r="P36" s="23"/>
      <c r="Q36" s="24"/>
    </row>
    <row r="37" spans="1:17">
      <c r="A37" s="11" t="s">
        <v>113</v>
      </c>
      <c r="B37" s="90">
        <f>'NCO Medium-Large C&amp;I Cust Fcst'!$M12</f>
        <v>889.35807686738053</v>
      </c>
      <c r="C37" s="23">
        <f>'NCO Medium-Large C&amp;I Cust Fcst'!$M13</f>
        <v>25.619409996603896</v>
      </c>
      <c r="D37" s="23"/>
      <c r="E37" s="24">
        <f>SUM(B37:D37)</f>
        <v>914.97748686398438</v>
      </c>
      <c r="F37" s="90">
        <f>'NCO Medium-Large C&amp;I Cust Fcst'!$N12</f>
        <v>23.709747772410861</v>
      </c>
      <c r="G37" s="23">
        <f>'NCO Medium-Large C&amp;I Cust Fcst'!$N13</f>
        <v>18.665353543136195</v>
      </c>
      <c r="H37" s="23"/>
      <c r="I37" s="24">
        <f>SUM(F37:H37)</f>
        <v>42.375101315547056</v>
      </c>
      <c r="J37" s="23"/>
      <c r="K37" s="23"/>
      <c r="L37" s="23"/>
      <c r="M37" s="23"/>
      <c r="N37" s="90">
        <f>'NCO Medium-Large C&amp;I Cust Fcst'!$P12</f>
        <v>913.06782463979141</v>
      </c>
      <c r="O37" s="23">
        <f>'NCO Medium-Large C&amp;I Cust Fcst'!$P13</f>
        <v>44.284763539740091</v>
      </c>
      <c r="P37" s="23"/>
      <c r="Q37" s="24">
        <f>SUM(N37:P37)</f>
        <v>957.35258817953149</v>
      </c>
    </row>
    <row r="38" spans="1:17">
      <c r="A38" s="20" t="s">
        <v>84</v>
      </c>
      <c r="B38" s="90">
        <f>'NCO Medium-Large C&amp;I Cust Fcst'!M17</f>
        <v>23.652265411056362</v>
      </c>
      <c r="C38" s="23">
        <f>'NCO Medium-Large C&amp;I Cust Fcst'!M18</f>
        <v>0.68801967007705278</v>
      </c>
      <c r="D38" s="23"/>
      <c r="E38" s="24">
        <f>SUM(B38:D38)</f>
        <v>24.340285081133416</v>
      </c>
      <c r="F38" s="90">
        <f>'NCO Medium-Large C&amp;I Cust Fcst'!N17</f>
        <v>0.32105584864855269</v>
      </c>
      <c r="G38" s="23">
        <f>'NCO Medium-Large C&amp;I Cust Fcst'!N18</f>
        <v>0.18711792798371535</v>
      </c>
      <c r="H38" s="23"/>
      <c r="I38" s="24">
        <f>SUM(F38:H38)</f>
        <v>0.50817377663226804</v>
      </c>
      <c r="J38" s="23"/>
      <c r="K38" s="23"/>
      <c r="L38" s="23"/>
      <c r="M38" s="23"/>
      <c r="N38" s="90">
        <f>'NCO Medium-Large C&amp;I Cust Fcst'!$P28</f>
        <v>37.669338629301784</v>
      </c>
      <c r="O38" s="23">
        <f>'NCO Medium-Large C&amp;I Cust Fcst'!$P29</f>
        <v>1.5394090511568697</v>
      </c>
      <c r="P38" s="23"/>
      <c r="Q38" s="24">
        <f>SUM(N38:P38)</f>
        <v>39.20874768045865</v>
      </c>
    </row>
    <row r="39" spans="1:17">
      <c r="A39" s="20" t="s">
        <v>85</v>
      </c>
      <c r="B39" s="90">
        <f>'NCO Medium-Large C&amp;I Cust Fcst'!M23</f>
        <v>13.340371153010706</v>
      </c>
      <c r="C39" s="23">
        <f>'NCO Medium-Large C&amp;I Cust Fcst'!M24</f>
        <v>0.38429114994905839</v>
      </c>
      <c r="D39" s="23"/>
      <c r="E39" s="24">
        <f t="shared" ref="E39" si="15">SUM(B39:D39)</f>
        <v>13.724662302959764</v>
      </c>
      <c r="F39" s="90">
        <f>'NCO Medium-Large C&amp;I Cust Fcst'!N23</f>
        <v>0.35564621658616291</v>
      </c>
      <c r="G39" s="23">
        <f>'NCO Medium-Large C&amp;I Cust Fcst'!N24</f>
        <v>0.27998030314704292</v>
      </c>
      <c r="H39" s="23"/>
      <c r="I39" s="24">
        <f>SUM(F39:H39)</f>
        <v>0.63562651973320583</v>
      </c>
      <c r="J39" s="23"/>
      <c r="K39" s="23"/>
      <c r="L39" s="23"/>
      <c r="M39" s="23"/>
      <c r="N39" s="90">
        <f>'NCO Medium-Large C&amp;I Cust Fcst'!P23</f>
        <v>13.696017369596868</v>
      </c>
      <c r="O39" s="23">
        <f>'NCO Medium-Large C&amp;I Cust Fcst'!P24</f>
        <v>0.66427145309610136</v>
      </c>
      <c r="P39" s="23"/>
      <c r="Q39" s="24">
        <f>SUM(N39:P39)</f>
        <v>14.360288822692969</v>
      </c>
    </row>
    <row r="40" spans="1:17">
      <c r="A40" s="11"/>
      <c r="B40" s="171"/>
      <c r="C40" s="114"/>
      <c r="D40" s="114"/>
      <c r="E40" s="24"/>
      <c r="F40" s="171"/>
      <c r="G40" s="114"/>
      <c r="H40" s="114"/>
      <c r="I40" s="115"/>
      <c r="J40" s="114"/>
      <c r="K40" s="114"/>
      <c r="L40" s="114"/>
      <c r="M40" s="114"/>
      <c r="N40" s="171"/>
      <c r="O40" s="114"/>
      <c r="P40" s="114"/>
      <c r="Q40" s="115"/>
    </row>
    <row r="41" spans="1:17">
      <c r="A41" s="11" t="s">
        <v>114</v>
      </c>
      <c r="B41" s="119">
        <f>(B34*B38+B35*B39)/B37</f>
        <v>879.35312746456191</v>
      </c>
      <c r="C41" s="32">
        <f>(C34*C38+C35*C39)/C37</f>
        <v>1991.3906943181551</v>
      </c>
      <c r="D41" s="32"/>
      <c r="E41" s="33">
        <f t="shared" ref="E41" si="16">(E34*E38+E35*E39)/E37</f>
        <v>910.96567979397582</v>
      </c>
      <c r="F41" s="119">
        <f t="shared" ref="F41:Q41" si="17">(F34*F38+F35*F39)/F37</f>
        <v>157.87092868316665</v>
      </c>
      <c r="G41" s="32">
        <f t="shared" si="17"/>
        <v>138.61847743601382</v>
      </c>
      <c r="H41" s="32"/>
      <c r="I41" s="33">
        <f t="shared" si="17"/>
        <v>149.36188941432727</v>
      </c>
      <c r="J41" s="32"/>
      <c r="K41" s="32"/>
      <c r="L41" s="32"/>
      <c r="M41" s="32"/>
      <c r="N41" s="119">
        <f t="shared" si="17"/>
        <v>1149.4893160769698</v>
      </c>
      <c r="O41" s="32">
        <f t="shared" si="17"/>
        <v>1540.6167588951573</v>
      </c>
      <c r="P41" s="32"/>
      <c r="Q41" s="33">
        <f t="shared" si="17"/>
        <v>1169.5167211513233</v>
      </c>
    </row>
    <row r="42" spans="1:17">
      <c r="A42" s="11"/>
      <c r="B42" s="171"/>
      <c r="C42" s="114"/>
      <c r="D42" s="114"/>
      <c r="E42" s="115"/>
      <c r="F42" s="171"/>
      <c r="G42" s="114"/>
      <c r="H42" s="114"/>
      <c r="I42" s="115"/>
      <c r="J42" s="114"/>
      <c r="K42" s="114"/>
      <c r="L42" s="114"/>
      <c r="M42" s="114"/>
      <c r="N42" s="171"/>
      <c r="O42" s="114"/>
      <c r="P42" s="114"/>
      <c r="Q42" s="115"/>
    </row>
    <row r="43" spans="1:17">
      <c r="A43" s="39" t="s">
        <v>21</v>
      </c>
      <c r="B43" s="215">
        <v>169.93031284017596</v>
      </c>
      <c r="C43" s="204">
        <v>169.80531623831118</v>
      </c>
      <c r="D43" s="204"/>
      <c r="E43" s="205">
        <v>169.92673757983658</v>
      </c>
      <c r="F43" s="215">
        <v>44.20718188180691</v>
      </c>
      <c r="G43" s="204">
        <v>44.225212822013404</v>
      </c>
      <c r="H43" s="204"/>
      <c r="I43" s="205">
        <v>44.212377237459648</v>
      </c>
      <c r="J43" s="204"/>
      <c r="K43" s="204"/>
      <c r="L43" s="204"/>
      <c r="M43" s="204"/>
      <c r="N43" s="215">
        <v>162.39210865341033</v>
      </c>
      <c r="O43" s="204">
        <v>159.51707471341854</v>
      </c>
      <c r="P43" s="204"/>
      <c r="Q43" s="205">
        <v>162.26439536888591</v>
      </c>
    </row>
    <row r="44" spans="1:17">
      <c r="A44" s="39" t="s">
        <v>81</v>
      </c>
      <c r="B44" s="215">
        <v>-3.0284021924274875</v>
      </c>
      <c r="C44" s="204">
        <v>-3.0284021924274875</v>
      </c>
      <c r="D44" s="204"/>
      <c r="E44" s="205">
        <v>-3.0284021924274875</v>
      </c>
      <c r="F44" s="215">
        <v>-3.0284021924274875</v>
      </c>
      <c r="G44" s="204">
        <v>-3.0284021924274875</v>
      </c>
      <c r="H44" s="204"/>
      <c r="I44" s="205">
        <v>-3.0284021924274875</v>
      </c>
      <c r="J44" s="204"/>
      <c r="K44" s="204"/>
      <c r="L44" s="204"/>
      <c r="M44" s="204"/>
      <c r="N44" s="215">
        <v>-3.0284021924274875</v>
      </c>
      <c r="O44" s="204">
        <v>-3.0284021924274875</v>
      </c>
      <c r="P44" s="204"/>
      <c r="Q44" s="205">
        <v>-3.0284021924274875</v>
      </c>
    </row>
    <row r="45" spans="1:17" ht="15">
      <c r="A45" s="39" t="s">
        <v>22</v>
      </c>
      <c r="B45" s="216">
        <v>481.55031066335573</v>
      </c>
      <c r="C45" s="217">
        <v>481.55031066335573</v>
      </c>
      <c r="D45" s="217"/>
      <c r="E45" s="218">
        <v>481.55031066335573</v>
      </c>
      <c r="F45" s="216">
        <v>481.55031066335579</v>
      </c>
      <c r="G45" s="217">
        <v>481.55031066335579</v>
      </c>
      <c r="H45" s="217"/>
      <c r="I45" s="218">
        <v>481.55031066335579</v>
      </c>
      <c r="J45" s="217"/>
      <c r="K45" s="217"/>
      <c r="L45" s="217"/>
      <c r="M45" s="217"/>
      <c r="N45" s="216">
        <v>481.55031066335567</v>
      </c>
      <c r="O45" s="217">
        <v>481.55031066335579</v>
      </c>
      <c r="P45" s="217"/>
      <c r="Q45" s="218">
        <v>481.55031066335573</v>
      </c>
    </row>
    <row r="46" spans="1:17">
      <c r="A46" s="11" t="s">
        <v>115</v>
      </c>
      <c r="B46" s="172">
        <f>B43+B44+B45</f>
        <v>648.45222131110427</v>
      </c>
      <c r="C46" s="162">
        <f>C43+C44+C45</f>
        <v>648.32722470923943</v>
      </c>
      <c r="D46" s="162"/>
      <c r="E46" s="163">
        <f t="shared" ref="E46" si="18">E43+E44+E45</f>
        <v>648.44864605076486</v>
      </c>
      <c r="F46" s="172">
        <f t="shared" ref="F46:Q46" si="19">F43+F44+F45</f>
        <v>522.72909035273517</v>
      </c>
      <c r="G46" s="162">
        <f t="shared" si="19"/>
        <v>522.74712129294176</v>
      </c>
      <c r="H46" s="162"/>
      <c r="I46" s="163">
        <f t="shared" si="19"/>
        <v>522.73428570838792</v>
      </c>
      <c r="J46" s="162"/>
      <c r="K46" s="162"/>
      <c r="L46" s="162"/>
      <c r="M46" s="162"/>
      <c r="N46" s="172">
        <f t="shared" si="19"/>
        <v>640.91401712433856</v>
      </c>
      <c r="O46" s="162">
        <f t="shared" si="19"/>
        <v>638.03898318434688</v>
      </c>
      <c r="P46" s="162"/>
      <c r="Q46" s="163">
        <f t="shared" si="19"/>
        <v>640.7863038398142</v>
      </c>
    </row>
    <row r="47" spans="1:17">
      <c r="A47" s="26"/>
      <c r="B47" s="173"/>
      <c r="E47" s="164"/>
      <c r="F47" s="173"/>
      <c r="I47" s="164"/>
      <c r="N47" s="173"/>
      <c r="O47" s="55"/>
      <c r="P47" s="55"/>
      <c r="Q47" s="164"/>
    </row>
    <row r="48" spans="1:17">
      <c r="A48" s="11" t="s">
        <v>116</v>
      </c>
      <c r="B48" s="159">
        <f>B41+B46</f>
        <v>1527.8053487756661</v>
      </c>
      <c r="C48" s="101">
        <f t="shared" ref="C48:Q48" si="20">C41+C46</f>
        <v>2639.7179190273946</v>
      </c>
      <c r="D48" s="101"/>
      <c r="E48" s="102">
        <f t="shared" si="20"/>
        <v>1559.4143258447407</v>
      </c>
      <c r="F48" s="159">
        <f t="shared" si="20"/>
        <v>680.60001903590182</v>
      </c>
      <c r="G48" s="101">
        <f t="shared" si="20"/>
        <v>661.36559872895555</v>
      </c>
      <c r="H48" s="101"/>
      <c r="I48" s="102">
        <f t="shared" si="20"/>
        <v>672.09617512271518</v>
      </c>
      <c r="J48" s="101"/>
      <c r="K48" s="101"/>
      <c r="L48" s="101"/>
      <c r="M48" s="101"/>
      <c r="N48" s="159">
        <f t="shared" si="20"/>
        <v>1790.4033332013082</v>
      </c>
      <c r="O48" s="101">
        <f t="shared" si="20"/>
        <v>2178.6557420795043</v>
      </c>
      <c r="P48" s="101"/>
      <c r="Q48" s="102">
        <f t="shared" si="20"/>
        <v>1810.3030249911376</v>
      </c>
    </row>
    <row r="49" spans="1:17" ht="13.5" thickBot="1">
      <c r="A49" s="160"/>
      <c r="B49" s="160"/>
      <c r="C49" s="161"/>
      <c r="D49" s="161"/>
      <c r="E49" s="122"/>
      <c r="F49" s="160"/>
      <c r="G49" s="161"/>
      <c r="H49" s="161"/>
      <c r="I49" s="122"/>
      <c r="J49" s="161"/>
      <c r="K49" s="161"/>
      <c r="L49" s="161"/>
      <c r="M49" s="161"/>
      <c r="N49" s="160"/>
      <c r="O49" s="161"/>
      <c r="P49" s="161"/>
      <c r="Q49" s="122"/>
    </row>
    <row r="50" spans="1:17">
      <c r="A50" s="193" t="s">
        <v>132</v>
      </c>
      <c r="B50" s="184"/>
      <c r="C50" s="184"/>
      <c r="D50" s="184"/>
      <c r="E50" s="184"/>
      <c r="F50" s="184"/>
      <c r="G50" s="184"/>
      <c r="H50" s="184"/>
      <c r="I50" s="184"/>
      <c r="J50" s="184"/>
      <c r="K50" s="185"/>
      <c r="L50" s="194"/>
      <c r="M50" s="194"/>
      <c r="N50" s="194"/>
      <c r="O50" s="194"/>
      <c r="P50" s="194"/>
      <c r="Q50" s="192"/>
    </row>
    <row r="51" spans="1:17" ht="13.5" thickBot="1">
      <c r="A51" s="169" t="s">
        <v>133</v>
      </c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61"/>
      <c r="M51" s="161"/>
      <c r="N51" s="161"/>
      <c r="O51" s="161"/>
      <c r="P51" s="161"/>
      <c r="Q51" s="122"/>
    </row>
    <row r="55" spans="1:17">
      <c r="A55" s="54"/>
    </row>
    <row r="67" spans="1:1">
      <c r="A67" s="54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47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67"/>
  <sheetViews>
    <sheetView topLeftCell="A15" zoomScaleNormal="100" workbookViewId="0">
      <selection activeCell="B43" sqref="B43"/>
    </sheetView>
  </sheetViews>
  <sheetFormatPr defaultColWidth="9.140625" defaultRowHeight="12.75"/>
  <cols>
    <col min="1" max="1" width="70.7109375" style="40" customWidth="1"/>
    <col min="2" max="2" width="12.7109375" style="40" customWidth="1"/>
    <col min="3" max="6" width="12.7109375" style="55" customWidth="1"/>
    <col min="7" max="7" width="12.85546875" style="55" customWidth="1"/>
    <col min="8" max="8" width="12.7109375" style="40" customWidth="1"/>
    <col min="9" max="9" width="12.42578125" style="40" customWidth="1"/>
    <col min="10" max="10" width="12.85546875" style="40" customWidth="1"/>
    <col min="11" max="16384" width="9.140625" style="40"/>
  </cols>
  <sheetData>
    <row r="1" spans="1:10" ht="18.75" thickBot="1">
      <c r="A1" s="346" t="s">
        <v>92</v>
      </c>
      <c r="B1" s="346"/>
      <c r="C1" s="346"/>
      <c r="D1" s="346"/>
      <c r="E1" s="346"/>
      <c r="F1" s="346"/>
      <c r="G1" s="346"/>
      <c r="H1" s="347"/>
      <c r="I1" s="347"/>
      <c r="J1" s="347"/>
    </row>
    <row r="2" spans="1:10" ht="13.5" thickBot="1">
      <c r="A2" s="152"/>
      <c r="B2" s="348" t="s">
        <v>35</v>
      </c>
      <c r="C2" s="349"/>
      <c r="D2" s="350"/>
      <c r="E2" s="348" t="s">
        <v>40</v>
      </c>
      <c r="F2" s="349"/>
      <c r="G2" s="350"/>
      <c r="H2" s="348" t="s">
        <v>51</v>
      </c>
      <c r="I2" s="349"/>
      <c r="J2" s="350"/>
    </row>
    <row r="3" spans="1:10" ht="13.5" thickBot="1">
      <c r="A3" s="153" t="s">
        <v>0</v>
      </c>
      <c r="B3" s="272" t="s">
        <v>52</v>
      </c>
      <c r="C3" s="273" t="s">
        <v>53</v>
      </c>
      <c r="D3" s="274" t="s">
        <v>46</v>
      </c>
      <c r="E3" s="272" t="s">
        <v>52</v>
      </c>
      <c r="F3" s="273" t="s">
        <v>53</v>
      </c>
      <c r="G3" s="274" t="s">
        <v>47</v>
      </c>
      <c r="H3" s="272" t="s">
        <v>52</v>
      </c>
      <c r="I3" s="273" t="s">
        <v>53</v>
      </c>
      <c r="J3" s="274" t="s">
        <v>36</v>
      </c>
    </row>
    <row r="4" spans="1:10">
      <c r="A4" s="43"/>
      <c r="B4" s="113"/>
      <c r="C4" s="44"/>
      <c r="D4" s="45"/>
      <c r="E4" s="44"/>
      <c r="F4" s="44"/>
      <c r="G4" s="44"/>
      <c r="H4" s="113"/>
      <c r="I4" s="44"/>
      <c r="J4" s="45"/>
    </row>
    <row r="5" spans="1:10">
      <c r="A5" s="46"/>
      <c r="B5" s="112"/>
      <c r="C5" s="47"/>
      <c r="D5" s="48"/>
      <c r="E5" s="47"/>
      <c r="F5" s="47"/>
      <c r="G5" s="47"/>
      <c r="H5" s="112"/>
      <c r="I5" s="47"/>
      <c r="J5" s="48"/>
    </row>
    <row r="6" spans="1:10">
      <c r="A6" s="46" t="s">
        <v>13</v>
      </c>
      <c r="B6" s="90"/>
      <c r="C6" s="23"/>
      <c r="D6" s="24"/>
      <c r="E6" s="23"/>
      <c r="F6" s="23"/>
      <c r="G6" s="23"/>
      <c r="H6" s="90"/>
      <c r="I6" s="23"/>
      <c r="J6" s="24"/>
    </row>
    <row r="7" spans="1:10">
      <c r="A7" s="49"/>
      <c r="B7" s="90"/>
      <c r="C7" s="23"/>
      <c r="D7" s="24"/>
      <c r="E7" s="23"/>
      <c r="F7" s="23"/>
      <c r="G7" s="23"/>
      <c r="H7" s="90"/>
      <c r="I7" s="23"/>
      <c r="J7" s="24"/>
    </row>
    <row r="8" spans="1:10">
      <c r="A8" s="46" t="s">
        <v>14</v>
      </c>
      <c r="B8" s="219">
        <v>1772.8868910248852</v>
      </c>
      <c r="C8" s="220">
        <v>15374.817320036975</v>
      </c>
      <c r="D8" s="221">
        <v>6306.8637006955814</v>
      </c>
      <c r="E8" s="220"/>
      <c r="F8" s="220"/>
      <c r="G8" s="220"/>
      <c r="H8" s="219">
        <v>1772.8868910248852</v>
      </c>
      <c r="I8" s="220">
        <v>15374.817320036975</v>
      </c>
      <c r="J8" s="221">
        <v>6306.8637006955814</v>
      </c>
    </row>
    <row r="9" spans="1:10">
      <c r="A9" s="46" t="s">
        <v>15</v>
      </c>
      <c r="B9" s="219">
        <v>720.5965590638026</v>
      </c>
      <c r="C9" s="220">
        <v>4211.8571354710866</v>
      </c>
      <c r="D9" s="221">
        <v>1884.3500845328972</v>
      </c>
      <c r="E9" s="220"/>
      <c r="F9" s="220"/>
      <c r="G9" s="220"/>
      <c r="H9" s="219">
        <v>720.5965590638026</v>
      </c>
      <c r="I9" s="220">
        <v>4211.8571354710866</v>
      </c>
      <c r="J9" s="221">
        <v>1884.3500845328972</v>
      </c>
    </row>
    <row r="10" spans="1:10">
      <c r="A10" s="46" t="s">
        <v>16</v>
      </c>
      <c r="B10" s="219">
        <v>327.45686962659977</v>
      </c>
      <c r="C10" s="220">
        <v>939.38301028660817</v>
      </c>
      <c r="D10" s="221">
        <v>531.43224984660253</v>
      </c>
      <c r="E10" s="220"/>
      <c r="F10" s="220"/>
      <c r="G10" s="220"/>
      <c r="H10" s="219">
        <v>327.45686962659977</v>
      </c>
      <c r="I10" s="220">
        <v>939.38301028660817</v>
      </c>
      <c r="J10" s="221">
        <v>531.43224984660253</v>
      </c>
    </row>
    <row r="11" spans="1:10">
      <c r="A11" s="11" t="s">
        <v>83</v>
      </c>
      <c r="B11" s="313">
        <v>322.30607959308202</v>
      </c>
      <c r="C11" s="314">
        <v>928.11620551141766</v>
      </c>
      <c r="D11" s="315">
        <v>524.24278823252723</v>
      </c>
      <c r="E11" s="314"/>
      <c r="F11" s="314"/>
      <c r="G11" s="314"/>
      <c r="H11" s="313">
        <v>322.30607959308202</v>
      </c>
      <c r="I11" s="314">
        <v>928.11620551141766</v>
      </c>
      <c r="J11" s="315">
        <v>524.24278823252723</v>
      </c>
    </row>
    <row r="12" spans="1:10">
      <c r="A12" s="50"/>
      <c r="B12" s="135"/>
      <c r="C12" s="136"/>
      <c r="D12" s="137"/>
      <c r="E12" s="136"/>
      <c r="F12" s="136"/>
      <c r="G12" s="136"/>
      <c r="H12" s="135"/>
      <c r="I12" s="136"/>
      <c r="J12" s="137"/>
    </row>
    <row r="13" spans="1:10">
      <c r="A13" s="46" t="s">
        <v>17</v>
      </c>
      <c r="B13" s="135">
        <f t="shared" ref="B13:J13" si="0">SUM(B8:B10)</f>
        <v>2820.9403197152874</v>
      </c>
      <c r="C13" s="136">
        <f t="shared" si="0"/>
        <v>20526.057465794671</v>
      </c>
      <c r="D13" s="137">
        <f t="shared" si="0"/>
        <v>8722.6460350750804</v>
      </c>
      <c r="E13" s="136"/>
      <c r="F13" s="136"/>
      <c r="G13" s="136"/>
      <c r="H13" s="135">
        <f t="shared" si="0"/>
        <v>2820.9403197152874</v>
      </c>
      <c r="I13" s="136">
        <f t="shared" si="0"/>
        <v>20526.057465794671</v>
      </c>
      <c r="J13" s="137">
        <f t="shared" si="0"/>
        <v>8722.6460350750804</v>
      </c>
    </row>
    <row r="14" spans="1:10">
      <c r="A14" s="11" t="s">
        <v>82</v>
      </c>
      <c r="B14" s="135">
        <f>B8+B9+B11</f>
        <v>2815.7895296817696</v>
      </c>
      <c r="C14" s="136">
        <f t="shared" ref="C14:J14" si="1">C8+C9+C11</f>
        <v>20514.79066101948</v>
      </c>
      <c r="D14" s="137">
        <f t="shared" si="1"/>
        <v>8715.456573461006</v>
      </c>
      <c r="E14" s="136"/>
      <c r="F14" s="136"/>
      <c r="G14" s="136"/>
      <c r="H14" s="135">
        <f>H8+H9+H11</f>
        <v>2815.7895296817696</v>
      </c>
      <c r="I14" s="136">
        <f t="shared" si="1"/>
        <v>20514.79066101948</v>
      </c>
      <c r="J14" s="137">
        <f t="shared" si="1"/>
        <v>8715.456573461006</v>
      </c>
    </row>
    <row r="15" spans="1:10">
      <c r="A15" s="50"/>
      <c r="B15" s="135"/>
      <c r="C15" s="136"/>
      <c r="D15" s="137"/>
      <c r="E15" s="136"/>
      <c r="F15" s="136"/>
      <c r="G15" s="136"/>
      <c r="H15" s="135"/>
      <c r="I15" s="136"/>
      <c r="J15" s="137"/>
    </row>
    <row r="16" spans="1:10">
      <c r="A16" s="46" t="s">
        <v>25</v>
      </c>
      <c r="B16" s="135"/>
      <c r="C16" s="136"/>
      <c r="D16" s="137"/>
      <c r="E16" s="136"/>
      <c r="F16" s="136"/>
      <c r="G16" s="136"/>
      <c r="H16" s="135"/>
      <c r="I16" s="136"/>
      <c r="J16" s="137"/>
    </row>
    <row r="17" spans="1:10">
      <c r="A17" s="51">
        <f>Input!B3</f>
        <v>2.7723662892949787E-2</v>
      </c>
      <c r="B17" s="135"/>
      <c r="C17" s="136"/>
      <c r="D17" s="137"/>
      <c r="E17" s="136"/>
      <c r="F17" s="136"/>
      <c r="G17" s="136"/>
      <c r="H17" s="135"/>
      <c r="I17" s="136"/>
      <c r="J17" s="137"/>
    </row>
    <row r="18" spans="1:10">
      <c r="A18" s="46" t="s">
        <v>26</v>
      </c>
      <c r="B18" s="135"/>
      <c r="C18" s="136"/>
      <c r="D18" s="137"/>
      <c r="E18" s="136"/>
      <c r="F18" s="136"/>
      <c r="G18" s="136"/>
      <c r="H18" s="135"/>
      <c r="I18" s="136"/>
      <c r="J18" s="137"/>
    </row>
    <row r="19" spans="1:10">
      <c r="A19" s="51">
        <f>Input!B4</f>
        <v>1.5023E-2</v>
      </c>
      <c r="B19" s="135"/>
      <c r="C19" s="136"/>
      <c r="D19" s="137"/>
      <c r="E19" s="136"/>
      <c r="F19" s="136"/>
      <c r="G19" s="136"/>
      <c r="H19" s="135"/>
      <c r="I19" s="136"/>
      <c r="J19" s="137"/>
    </row>
    <row r="20" spans="1:10">
      <c r="A20" s="20" t="s">
        <v>27</v>
      </c>
      <c r="B20" s="135">
        <f t="shared" ref="B20:J20" si="2">(B8*(1+$A$17)*(1+$A$19))</f>
        <v>1849.4102835516933</v>
      </c>
      <c r="C20" s="136">
        <f t="shared" si="2"/>
        <v>16038.442950507408</v>
      </c>
      <c r="D20" s="137">
        <f t="shared" si="2"/>
        <v>6579.0878392035975</v>
      </c>
      <c r="E20" s="136"/>
      <c r="F20" s="136"/>
      <c r="G20" s="136"/>
      <c r="H20" s="135">
        <f t="shared" si="2"/>
        <v>1849.4102835516933</v>
      </c>
      <c r="I20" s="136">
        <f t="shared" si="2"/>
        <v>16038.442950507408</v>
      </c>
      <c r="J20" s="137">
        <f t="shared" si="2"/>
        <v>6579.0878392035975</v>
      </c>
    </row>
    <row r="21" spans="1:10">
      <c r="A21" s="20" t="s">
        <v>15</v>
      </c>
      <c r="B21" s="135">
        <f t="shared" ref="B21:J21" si="3">(B9*(1+$A$17)*(1+$A$19))</f>
        <v>751.69978038145211</v>
      </c>
      <c r="C21" s="136">
        <f t="shared" si="3"/>
        <v>4393.6541798714597</v>
      </c>
      <c r="D21" s="137">
        <f t="shared" si="3"/>
        <v>1965.6845802114547</v>
      </c>
      <c r="E21" s="136"/>
      <c r="F21" s="136"/>
      <c r="G21" s="136"/>
      <c r="H21" s="135">
        <f t="shared" si="3"/>
        <v>751.69978038145211</v>
      </c>
      <c r="I21" s="136">
        <f t="shared" si="3"/>
        <v>4393.6541798714597</v>
      </c>
      <c r="J21" s="137">
        <f t="shared" si="3"/>
        <v>1965.6845802114547</v>
      </c>
    </row>
    <row r="22" spans="1:10">
      <c r="A22" s="20" t="s">
        <v>16</v>
      </c>
      <c r="B22" s="135">
        <f t="shared" ref="B22:J22" si="4">(B10*(1+$A$17)*(1+$A$19))</f>
        <v>341.5909414034802</v>
      </c>
      <c r="C22" s="136">
        <f t="shared" si="4"/>
        <v>979.92974521543431</v>
      </c>
      <c r="D22" s="137">
        <f t="shared" si="4"/>
        <v>554.37054267413157</v>
      </c>
      <c r="E22" s="136"/>
      <c r="F22" s="136"/>
      <c r="G22" s="136"/>
      <c r="H22" s="135">
        <f t="shared" si="4"/>
        <v>341.5909414034802</v>
      </c>
      <c r="I22" s="136">
        <f t="shared" si="4"/>
        <v>979.92974521543431</v>
      </c>
      <c r="J22" s="137">
        <f t="shared" si="4"/>
        <v>554.37054267413157</v>
      </c>
    </row>
    <row r="23" spans="1:10">
      <c r="A23" s="11" t="s">
        <v>83</v>
      </c>
      <c r="B23" s="135">
        <f t="shared" ref="B23" si="5">(B11*(1+$A$17)*(1+$A$19))</f>
        <v>336.21782701889788</v>
      </c>
      <c r="C23" s="136">
        <f t="shared" ref="C23:J23" si="6">(C11*(1+$A$17)*(1+$A$19))</f>
        <v>968.17662959396273</v>
      </c>
      <c r="D23" s="137">
        <f t="shared" si="6"/>
        <v>546.87076121058612</v>
      </c>
      <c r="E23" s="136"/>
      <c r="F23" s="136"/>
      <c r="G23" s="136"/>
      <c r="H23" s="135">
        <f t="shared" si="6"/>
        <v>336.21782701889788</v>
      </c>
      <c r="I23" s="136">
        <f t="shared" si="6"/>
        <v>968.17662959396273</v>
      </c>
      <c r="J23" s="137">
        <f t="shared" si="6"/>
        <v>546.87076121058612</v>
      </c>
    </row>
    <row r="24" spans="1:10">
      <c r="A24" s="46"/>
      <c r="B24" s="135"/>
      <c r="C24" s="149"/>
      <c r="D24" s="150"/>
      <c r="E24" s="149"/>
      <c r="F24" s="149"/>
      <c r="G24" s="149"/>
      <c r="H24" s="148"/>
      <c r="I24" s="149"/>
      <c r="J24" s="150"/>
    </row>
    <row r="25" spans="1:10">
      <c r="A25" s="46" t="s">
        <v>17</v>
      </c>
      <c r="B25" s="148">
        <f t="shared" ref="B25:J25" si="7">B20+B21+B22</f>
        <v>2942.7010053366257</v>
      </c>
      <c r="C25" s="149">
        <f t="shared" si="7"/>
        <v>21412.026875594303</v>
      </c>
      <c r="D25" s="150">
        <f t="shared" si="7"/>
        <v>9099.1429620891831</v>
      </c>
      <c r="E25" s="149"/>
      <c r="F25" s="149"/>
      <c r="G25" s="149"/>
      <c r="H25" s="148">
        <f t="shared" si="7"/>
        <v>2942.7010053366257</v>
      </c>
      <c r="I25" s="149">
        <f t="shared" si="7"/>
        <v>21412.026875594303</v>
      </c>
      <c r="J25" s="150">
        <f t="shared" si="7"/>
        <v>9099.1429620891831</v>
      </c>
    </row>
    <row r="26" spans="1:10">
      <c r="A26" s="11" t="s">
        <v>82</v>
      </c>
      <c r="B26" s="135">
        <f>B20+B21+B23</f>
        <v>2937.3278909520432</v>
      </c>
      <c r="C26" s="136">
        <f t="shared" ref="C26:J26" si="8">C20+C21+C23</f>
        <v>21400.273759972832</v>
      </c>
      <c r="D26" s="137">
        <f t="shared" si="8"/>
        <v>9091.6431806256387</v>
      </c>
      <c r="E26" s="136"/>
      <c r="F26" s="136"/>
      <c r="G26" s="136"/>
      <c r="H26" s="135">
        <f>H20+H21+H23</f>
        <v>2937.3278909520432</v>
      </c>
      <c r="I26" s="136">
        <f t="shared" si="8"/>
        <v>21400.273759972832</v>
      </c>
      <c r="J26" s="137">
        <f t="shared" si="8"/>
        <v>9091.6431806256387</v>
      </c>
    </row>
    <row r="27" spans="1:10">
      <c r="A27" s="11"/>
      <c r="B27" s="135"/>
      <c r="C27" s="136"/>
      <c r="D27" s="137"/>
      <c r="E27" s="136"/>
      <c r="F27" s="136"/>
      <c r="G27" s="136"/>
      <c r="H27" s="135"/>
      <c r="I27" s="136"/>
      <c r="J27" s="137"/>
    </row>
    <row r="28" spans="1:10">
      <c r="A28" s="20" t="s">
        <v>20</v>
      </c>
      <c r="B28" s="135"/>
      <c r="C28" s="136"/>
      <c r="D28" s="137"/>
      <c r="E28" s="136"/>
      <c r="F28" s="136"/>
      <c r="G28" s="136"/>
      <c r="H28" s="135"/>
      <c r="I28" s="136"/>
      <c r="J28" s="137"/>
    </row>
    <row r="29" spans="1:10">
      <c r="A29" s="20" t="s">
        <v>120</v>
      </c>
      <c r="B29" s="135">
        <f>B20*Input!$B$8</f>
        <v>2288.8378866499638</v>
      </c>
      <c r="C29" s="136">
        <f>C20*Input!$B$8</f>
        <v>19849.243942505258</v>
      </c>
      <c r="D29" s="137">
        <f>D20*Input!$B$8</f>
        <v>8142.3065719350616</v>
      </c>
      <c r="E29" s="136"/>
      <c r="F29" s="136"/>
      <c r="G29" s="136"/>
      <c r="H29" s="135">
        <f>H20*Input!$B$8</f>
        <v>2288.8378866499638</v>
      </c>
      <c r="I29" s="136">
        <f>I20*Input!$B$8</f>
        <v>19849.243942505258</v>
      </c>
      <c r="J29" s="137">
        <f>J20*Input!$B$8</f>
        <v>8142.3065719350616</v>
      </c>
    </row>
    <row r="30" spans="1:10">
      <c r="A30" s="20" t="s">
        <v>121</v>
      </c>
      <c r="B30" s="135">
        <f>B21*Input!$B$9</f>
        <v>926.65280865868215</v>
      </c>
      <c r="C30" s="136">
        <f>C21*Input!$B$9</f>
        <v>5416.2474066266295</v>
      </c>
      <c r="D30" s="137">
        <f>D21*Input!$B$9</f>
        <v>2423.1843413146644</v>
      </c>
      <c r="E30" s="136"/>
      <c r="F30" s="136"/>
      <c r="G30" s="136"/>
      <c r="H30" s="135">
        <f>H21*Input!$B$9</f>
        <v>926.65280865868215</v>
      </c>
      <c r="I30" s="136">
        <f>I21*Input!$B$9</f>
        <v>5416.2474066266295</v>
      </c>
      <c r="J30" s="137">
        <f>J21*Input!$B$9</f>
        <v>2423.1843413146644</v>
      </c>
    </row>
    <row r="31" spans="1:10">
      <c r="A31" s="20" t="s">
        <v>136</v>
      </c>
      <c r="B31" s="135">
        <f>B22*Input!$B$13</f>
        <v>367.81021596287314</v>
      </c>
      <c r="C31" s="136">
        <f>C22*Input!$B$13</f>
        <v>1055.1455777347496</v>
      </c>
      <c r="D31" s="137">
        <f>D22*Input!$B$13</f>
        <v>596.92200322016527</v>
      </c>
      <c r="E31" s="136"/>
      <c r="F31" s="136"/>
      <c r="G31" s="136"/>
      <c r="H31" s="135">
        <f>H22*Input!$B$13</f>
        <v>367.81021596287314</v>
      </c>
      <c r="I31" s="136">
        <f>I22*Input!$B$13</f>
        <v>1055.1455777347496</v>
      </c>
      <c r="J31" s="137">
        <f>J22*Input!$B$13</f>
        <v>596.92200322016527</v>
      </c>
    </row>
    <row r="32" spans="1:10">
      <c r="A32" s="20" t="s">
        <v>137</v>
      </c>
      <c r="B32" s="135">
        <f>B23*Input!$B$13</f>
        <v>362.02468091892098</v>
      </c>
      <c r="C32" s="136">
        <f>C23*Input!$B$13</f>
        <v>1042.4903358328165</v>
      </c>
      <c r="D32" s="137">
        <f>D23*Input!$B$13</f>
        <v>588.84656589021949</v>
      </c>
      <c r="E32" s="136"/>
      <c r="F32" s="136"/>
      <c r="G32" s="136"/>
      <c r="H32" s="135">
        <f>H23*Input!$B$13</f>
        <v>362.02468091892098</v>
      </c>
      <c r="I32" s="136">
        <f>I23*Input!$B$13</f>
        <v>1042.4903358328165</v>
      </c>
      <c r="J32" s="137">
        <f>J23*Input!$B$13</f>
        <v>588.84656589021949</v>
      </c>
    </row>
    <row r="33" spans="1:12">
      <c r="A33" s="46"/>
      <c r="B33" s="135"/>
      <c r="C33" s="136"/>
      <c r="D33" s="137"/>
      <c r="E33" s="136"/>
      <c r="F33" s="136"/>
      <c r="G33" s="136"/>
      <c r="H33" s="135"/>
      <c r="I33" s="136"/>
      <c r="J33" s="137"/>
    </row>
    <row r="34" spans="1:12">
      <c r="A34" s="11" t="s">
        <v>17</v>
      </c>
      <c r="B34" s="135">
        <f>SUM(B29:B31)</f>
        <v>3583.300911271519</v>
      </c>
      <c r="C34" s="136">
        <f t="shared" ref="C34:D34" si="9">SUM(C29:C31)</f>
        <v>26320.636926866639</v>
      </c>
      <c r="D34" s="137">
        <f t="shared" si="9"/>
        <v>11162.412916469892</v>
      </c>
      <c r="E34" s="136"/>
      <c r="F34" s="136"/>
      <c r="G34" s="136"/>
      <c r="H34" s="135">
        <f>SUM(H29:H31)</f>
        <v>3583.300911271519</v>
      </c>
      <c r="I34" s="136">
        <f t="shared" ref="I34:J34" si="10">SUM(I29:I31)</f>
        <v>26320.636926866639</v>
      </c>
      <c r="J34" s="137">
        <f t="shared" si="10"/>
        <v>11162.412916469892</v>
      </c>
    </row>
    <row r="35" spans="1:12">
      <c r="A35" s="11" t="s">
        <v>82</v>
      </c>
      <c r="B35" s="135">
        <f>B29+B30+B32</f>
        <v>3577.5153762275672</v>
      </c>
      <c r="C35" s="136">
        <f t="shared" ref="C35:J35" si="11">C29+C30+C32</f>
        <v>26307.981684964703</v>
      </c>
      <c r="D35" s="137">
        <f t="shared" si="11"/>
        <v>11154.337479139946</v>
      </c>
      <c r="E35" s="136"/>
      <c r="F35" s="136"/>
      <c r="G35" s="136"/>
      <c r="H35" s="135">
        <f>H29+H30+H32</f>
        <v>3577.5153762275672</v>
      </c>
      <c r="I35" s="136">
        <f t="shared" si="11"/>
        <v>26307.981684964703</v>
      </c>
      <c r="J35" s="137">
        <f t="shared" si="11"/>
        <v>11154.337479139946</v>
      </c>
    </row>
    <row r="36" spans="1:12">
      <c r="A36" s="11"/>
      <c r="B36" s="135"/>
      <c r="C36" s="136"/>
      <c r="D36" s="137"/>
      <c r="E36" s="136"/>
      <c r="F36" s="136"/>
      <c r="G36" s="136"/>
      <c r="H36" s="135"/>
      <c r="I36" s="136"/>
      <c r="J36" s="137"/>
    </row>
    <row r="37" spans="1:12">
      <c r="A37" s="11" t="s">
        <v>113</v>
      </c>
      <c r="B37" s="130">
        <f>'NCO Agricultural'!H11</f>
        <v>2.4166666666666665</v>
      </c>
      <c r="C37" s="131">
        <f>'NCO Agricultural'!H12</f>
        <v>0.58333333333333337</v>
      </c>
      <c r="D37" s="133">
        <f>B37+C37</f>
        <v>3</v>
      </c>
      <c r="E37" s="131"/>
      <c r="F37" s="131"/>
      <c r="G37" s="131"/>
      <c r="H37" s="130">
        <f>'NCO Agricultural'!J11</f>
        <v>2.4166666666666665</v>
      </c>
      <c r="I37" s="131">
        <f>'NCO Agricultural'!J12</f>
        <v>0.58333333333333337</v>
      </c>
      <c r="J37" s="133">
        <f>H37+I37</f>
        <v>3</v>
      </c>
      <c r="L37" s="53"/>
    </row>
    <row r="38" spans="1:12">
      <c r="A38" s="20" t="s">
        <v>84</v>
      </c>
      <c r="B38" s="130">
        <f>'NCO Agricultural'!H15</f>
        <v>0</v>
      </c>
      <c r="C38" s="131">
        <f>'NCO Agricultural'!H16</f>
        <v>0</v>
      </c>
      <c r="D38" s="133">
        <f>B38+C38</f>
        <v>0</v>
      </c>
      <c r="E38" s="131"/>
      <c r="F38" s="131"/>
      <c r="G38" s="131"/>
      <c r="H38" s="130">
        <f>'NCO Agricultural'!J15</f>
        <v>0</v>
      </c>
      <c r="I38" s="131">
        <f>'NCO Agricultural'!J16</f>
        <v>0</v>
      </c>
      <c r="J38" s="133">
        <f>H38+I38</f>
        <v>0</v>
      </c>
    </row>
    <row r="39" spans="1:12">
      <c r="A39" s="20" t="s">
        <v>85</v>
      </c>
      <c r="B39" s="331">
        <f>'NCO Agricultural'!H24</f>
        <v>3.6249999999999998E-2</v>
      </c>
      <c r="C39" s="332">
        <f>'NCO Agricultural'!H25</f>
        <v>8.7500000000000008E-3</v>
      </c>
      <c r="D39" s="333">
        <f>B39+C39</f>
        <v>4.4999999999999998E-2</v>
      </c>
      <c r="E39" s="131"/>
      <c r="F39" s="131"/>
      <c r="G39" s="131"/>
      <c r="H39" s="331">
        <f>'NCO Agricultural'!J24</f>
        <v>3.6249999999999998E-2</v>
      </c>
      <c r="I39" s="332">
        <f>'NCO Agricultural'!J25</f>
        <v>8.7500000000000008E-3</v>
      </c>
      <c r="J39" s="333">
        <f>H39+I39</f>
        <v>4.4999999999999998E-2</v>
      </c>
    </row>
    <row r="40" spans="1:12">
      <c r="A40" s="11"/>
      <c r="B40" s="135"/>
      <c r="C40" s="136"/>
      <c r="D40" s="137"/>
      <c r="E40" s="136"/>
      <c r="F40" s="136"/>
      <c r="G40" s="136"/>
      <c r="H40" s="135"/>
      <c r="I40" s="136"/>
      <c r="J40" s="137"/>
    </row>
    <row r="41" spans="1:12">
      <c r="A41" s="11" t="s">
        <v>114</v>
      </c>
      <c r="B41" s="119">
        <f>(B34*B38+B35*B39)/B37</f>
        <v>53.662730643413511</v>
      </c>
      <c r="C41" s="32">
        <f t="shared" ref="C41:J41" si="12">(C34*C38+C35*C39)/C37</f>
        <v>394.61972527447057</v>
      </c>
      <c r="D41" s="33">
        <f t="shared" si="12"/>
        <v>167.31506218709919</v>
      </c>
      <c r="E41" s="32"/>
      <c r="F41" s="32"/>
      <c r="G41" s="32"/>
      <c r="H41" s="119">
        <f>(H34*H38+H35*H39)/H37</f>
        <v>53.662730643413511</v>
      </c>
      <c r="I41" s="32">
        <f t="shared" si="12"/>
        <v>394.61972527447057</v>
      </c>
      <c r="J41" s="33">
        <f t="shared" si="12"/>
        <v>167.31506218709919</v>
      </c>
    </row>
    <row r="42" spans="1:12">
      <c r="A42" s="11"/>
      <c r="B42" s="135"/>
      <c r="C42" s="136"/>
      <c r="D42" s="137"/>
      <c r="E42" s="136"/>
      <c r="F42" s="136"/>
      <c r="G42" s="136"/>
      <c r="H42" s="135"/>
      <c r="I42" s="136"/>
      <c r="J42" s="137"/>
    </row>
    <row r="43" spans="1:12">
      <c r="A43" s="39" t="s">
        <v>21</v>
      </c>
      <c r="B43" s="222">
        <v>86.83807389648895</v>
      </c>
      <c r="C43" s="223">
        <v>86.83807389648895</v>
      </c>
      <c r="D43" s="224">
        <v>86.83807389648895</v>
      </c>
      <c r="E43" s="223"/>
      <c r="F43" s="223"/>
      <c r="G43" s="223"/>
      <c r="H43" s="222">
        <v>86.83807389648895</v>
      </c>
      <c r="I43" s="223">
        <v>86.83807389648895</v>
      </c>
      <c r="J43" s="224">
        <v>86.83807389648895</v>
      </c>
    </row>
    <row r="44" spans="1:12">
      <c r="A44" s="39" t="s">
        <v>81</v>
      </c>
      <c r="B44" s="222">
        <v>-3.0284021924274875</v>
      </c>
      <c r="C44" s="223">
        <v>-3.0284021924274875</v>
      </c>
      <c r="D44" s="224">
        <v>-3.0284021924274875</v>
      </c>
      <c r="E44" s="223"/>
      <c r="F44" s="223"/>
      <c r="G44" s="223"/>
      <c r="H44" s="222">
        <v>-3.0284021924274875</v>
      </c>
      <c r="I44" s="223">
        <v>-3.0284021924274875</v>
      </c>
      <c r="J44" s="224">
        <v>-3.0284021924274875</v>
      </c>
    </row>
    <row r="45" spans="1:12" ht="15">
      <c r="A45" s="39" t="s">
        <v>22</v>
      </c>
      <c r="B45" s="225">
        <v>160.05279683391606</v>
      </c>
      <c r="C45" s="226">
        <v>160.05279683391606</v>
      </c>
      <c r="D45" s="227">
        <v>160.05279683391606</v>
      </c>
      <c r="E45" s="226"/>
      <c r="F45" s="226"/>
      <c r="G45" s="226"/>
      <c r="H45" s="225">
        <v>160.05279683391606</v>
      </c>
      <c r="I45" s="226">
        <v>160.05279683391606</v>
      </c>
      <c r="J45" s="227">
        <v>160.05279683391606</v>
      </c>
    </row>
    <row r="46" spans="1:12">
      <c r="A46" s="11" t="s">
        <v>115</v>
      </c>
      <c r="B46" s="154">
        <f t="shared" ref="B46:J46" si="13">B43+B44+B45</f>
        <v>243.86246853797752</v>
      </c>
      <c r="C46" s="155">
        <f t="shared" si="13"/>
        <v>243.86246853797752</v>
      </c>
      <c r="D46" s="156">
        <f t="shared" si="13"/>
        <v>243.86246853797752</v>
      </c>
      <c r="E46" s="155"/>
      <c r="F46" s="155"/>
      <c r="G46" s="155"/>
      <c r="H46" s="154">
        <f t="shared" si="13"/>
        <v>243.86246853797752</v>
      </c>
      <c r="I46" s="155">
        <f t="shared" si="13"/>
        <v>243.86246853797752</v>
      </c>
      <c r="J46" s="156">
        <f t="shared" si="13"/>
        <v>243.86246853797752</v>
      </c>
    </row>
    <row r="47" spans="1:12">
      <c r="A47" s="26"/>
      <c r="B47" s="157"/>
      <c r="C47" s="151"/>
      <c r="D47" s="158"/>
      <c r="E47" s="151"/>
      <c r="F47" s="151"/>
      <c r="G47" s="151"/>
      <c r="H47" s="157"/>
      <c r="I47" s="151"/>
      <c r="J47" s="158"/>
    </row>
    <row r="48" spans="1:12">
      <c r="A48" s="11" t="s">
        <v>116</v>
      </c>
      <c r="B48" s="159">
        <f>B41+B46</f>
        <v>297.52519918139103</v>
      </c>
      <c r="C48" s="101">
        <f t="shared" ref="C48:J48" si="14">C41+C46</f>
        <v>638.48219381244803</v>
      </c>
      <c r="D48" s="102">
        <f t="shared" si="14"/>
        <v>411.17753072507674</v>
      </c>
      <c r="E48" s="101"/>
      <c r="F48" s="101"/>
      <c r="G48" s="101"/>
      <c r="H48" s="159">
        <f t="shared" si="14"/>
        <v>297.52519918139103</v>
      </c>
      <c r="I48" s="101">
        <f t="shared" si="14"/>
        <v>638.48219381244803</v>
      </c>
      <c r="J48" s="102">
        <f t="shared" si="14"/>
        <v>411.17753072507674</v>
      </c>
    </row>
    <row r="49" spans="1:11" ht="13.5" thickBot="1">
      <c r="A49" s="300"/>
      <c r="B49" s="160"/>
      <c r="C49" s="161"/>
      <c r="D49" s="122"/>
      <c r="E49" s="161"/>
      <c r="F49" s="161"/>
      <c r="G49" s="161"/>
      <c r="H49" s="160"/>
      <c r="I49" s="161"/>
      <c r="J49" s="122"/>
    </row>
    <row r="50" spans="1:11">
      <c r="A50" s="193" t="s">
        <v>127</v>
      </c>
      <c r="B50" s="184"/>
      <c r="C50" s="184"/>
      <c r="D50" s="184"/>
      <c r="E50" s="184"/>
      <c r="F50" s="184"/>
      <c r="G50" s="184"/>
      <c r="H50" s="184"/>
      <c r="I50" s="184"/>
      <c r="J50" s="185"/>
      <c r="K50" s="95"/>
    </row>
    <row r="51" spans="1:11" ht="13.5" thickBot="1">
      <c r="A51" s="169" t="s">
        <v>128</v>
      </c>
      <c r="B51" s="103"/>
      <c r="C51" s="103"/>
      <c r="D51" s="103"/>
      <c r="E51" s="103"/>
      <c r="F51" s="103"/>
      <c r="G51" s="103"/>
      <c r="H51" s="103"/>
      <c r="I51" s="103"/>
      <c r="J51" s="104"/>
      <c r="K51" s="95"/>
    </row>
    <row r="55" spans="1:11">
      <c r="A55" s="54"/>
    </row>
    <row r="67" spans="1:1">
      <c r="A67" s="54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65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0"/>
  <sheetViews>
    <sheetView topLeftCell="A11" zoomScaleNormal="100" workbookViewId="0">
      <selection activeCell="B43" sqref="B43"/>
    </sheetView>
  </sheetViews>
  <sheetFormatPr defaultColWidth="9.140625" defaultRowHeight="12.75"/>
  <cols>
    <col min="1" max="1" width="70.7109375" style="40" customWidth="1"/>
    <col min="2" max="2" width="60.7109375" style="40" customWidth="1"/>
    <col min="3" max="3" width="9.140625" style="40"/>
    <col min="4" max="4" width="14.42578125" style="40" bestFit="1" customWidth="1"/>
    <col min="5" max="5" width="11.85546875" style="40" bestFit="1" customWidth="1"/>
    <col min="6" max="16384" width="9.140625" style="40"/>
  </cols>
  <sheetData>
    <row r="1" spans="1:4" ht="18.75" thickBot="1">
      <c r="A1" s="359" t="s">
        <v>93</v>
      </c>
      <c r="B1" s="359"/>
    </row>
    <row r="2" spans="1:4">
      <c r="A2" s="269"/>
      <c r="B2" s="270"/>
    </row>
    <row r="3" spans="1:4" ht="13.5" thickBot="1">
      <c r="A3" s="41" t="s">
        <v>0</v>
      </c>
      <c r="B3" s="42" t="s">
        <v>54</v>
      </c>
    </row>
    <row r="4" spans="1:4">
      <c r="A4" s="43"/>
      <c r="B4" s="45"/>
    </row>
    <row r="5" spans="1:4">
      <c r="A5" s="46"/>
      <c r="B5" s="48"/>
    </row>
    <row r="6" spans="1:4">
      <c r="A6" s="46" t="s">
        <v>55</v>
      </c>
      <c r="B6" s="92"/>
    </row>
    <row r="7" spans="1:4">
      <c r="A7" s="49"/>
      <c r="B7" s="92"/>
    </row>
    <row r="8" spans="1:4">
      <c r="A8" s="46" t="s">
        <v>14</v>
      </c>
      <c r="B8" s="228">
        <v>35.14957239012459</v>
      </c>
      <c r="C8" s="56"/>
      <c r="D8" s="52"/>
    </row>
    <row r="9" spans="1:4">
      <c r="A9" s="46" t="s">
        <v>15</v>
      </c>
      <c r="B9" s="228">
        <v>46.972334953224312</v>
      </c>
      <c r="C9" s="56"/>
    </row>
    <row r="10" spans="1:4">
      <c r="A10" s="46" t="s">
        <v>16</v>
      </c>
      <c r="B10" s="228">
        <v>0</v>
      </c>
    </row>
    <row r="11" spans="1:4">
      <c r="A11" s="50"/>
      <c r="B11" s="92"/>
    </row>
    <row r="12" spans="1:4">
      <c r="A12" s="46" t="s">
        <v>17</v>
      </c>
      <c r="B12" s="24">
        <f>SUM(B8:B10)</f>
        <v>82.121907343348909</v>
      </c>
    </row>
    <row r="13" spans="1:4">
      <c r="A13" s="50"/>
      <c r="B13" s="24"/>
    </row>
    <row r="14" spans="1:4">
      <c r="A14" s="46" t="s">
        <v>25</v>
      </c>
      <c r="B14" s="24">
        <f>B12*A15</f>
        <v>2.2767200753130625</v>
      </c>
    </row>
    <row r="15" spans="1:4">
      <c r="A15" s="51">
        <f>Input!B3</f>
        <v>2.7723662892949787E-2</v>
      </c>
      <c r="B15" s="24"/>
    </row>
    <row r="16" spans="1:4">
      <c r="A16" s="46" t="s">
        <v>26</v>
      </c>
      <c r="B16" s="24">
        <f>(B12+B14)*A17</f>
        <v>1.2679205797105588</v>
      </c>
    </row>
    <row r="17" spans="1:5">
      <c r="A17" s="51">
        <f>Input!B4</f>
        <v>1.5023E-2</v>
      </c>
      <c r="B17" s="24"/>
    </row>
    <row r="18" spans="1:5">
      <c r="A18" s="20" t="s">
        <v>27</v>
      </c>
      <c r="B18" s="24">
        <f>(B8*(1+$A$15)*(1+$A$17))</f>
        <v>36.666738848275813</v>
      </c>
    </row>
    <row r="19" spans="1:5">
      <c r="A19" s="20" t="s">
        <v>15</v>
      </c>
      <c r="B19" s="24">
        <f>(B9*(1+$A$15)*(1+$A$17))</f>
        <v>48.999809150096709</v>
      </c>
    </row>
    <row r="20" spans="1:5">
      <c r="A20" s="20" t="s">
        <v>16</v>
      </c>
      <c r="B20" s="24">
        <f>(B10*(1+$A$15)*(1+$A$17))</f>
        <v>0</v>
      </c>
    </row>
    <row r="21" spans="1:5">
      <c r="A21" s="51"/>
      <c r="B21" s="24"/>
    </row>
    <row r="22" spans="1:5">
      <c r="A22" s="46" t="s">
        <v>17</v>
      </c>
      <c r="B22" s="24">
        <f>SUM(B18:B20)</f>
        <v>85.666547998372522</v>
      </c>
    </row>
    <row r="23" spans="1:5">
      <c r="A23" s="50"/>
      <c r="B23" s="24"/>
    </row>
    <row r="24" spans="1:5">
      <c r="A24" s="20" t="s">
        <v>20</v>
      </c>
      <c r="B24" s="24"/>
    </row>
    <row r="25" spans="1:5">
      <c r="A25" s="20" t="s">
        <v>120</v>
      </c>
      <c r="B25" s="33">
        <f>B18*Input!$B$8</f>
        <v>45.378909051301349</v>
      </c>
    </row>
    <row r="26" spans="1:5">
      <c r="A26" s="20" t="s">
        <v>121</v>
      </c>
      <c r="B26" s="33">
        <f>B19*Input!$B$9</f>
        <v>60.404182570913093</v>
      </c>
      <c r="C26" s="56"/>
    </row>
    <row r="27" spans="1:5">
      <c r="A27" s="20" t="s">
        <v>136</v>
      </c>
      <c r="B27" s="33">
        <f>B20*Input!$B$13</f>
        <v>0</v>
      </c>
    </row>
    <row r="28" spans="1:5">
      <c r="A28" s="20" t="s">
        <v>137</v>
      </c>
      <c r="B28" s="33"/>
    </row>
    <row r="29" spans="1:5">
      <c r="A29" s="11" t="s">
        <v>59</v>
      </c>
      <c r="B29" s="33">
        <f>SUM(B25:B27)</f>
        <v>105.78309162221444</v>
      </c>
    </row>
    <row r="30" spans="1:5">
      <c r="A30" s="11"/>
      <c r="B30" s="33"/>
    </row>
    <row r="31" spans="1:5">
      <c r="A31" s="11" t="s">
        <v>122</v>
      </c>
      <c r="B31" s="258">
        <v>3145.2171148141138</v>
      </c>
      <c r="D31" s="116"/>
      <c r="E31" s="117"/>
    </row>
    <row r="32" spans="1:5">
      <c r="A32" s="11" t="s">
        <v>123</v>
      </c>
      <c r="B32" s="258">
        <v>103</v>
      </c>
    </row>
    <row r="33" spans="1:5">
      <c r="A33" s="11"/>
      <c r="B33" s="258"/>
    </row>
    <row r="34" spans="1:5">
      <c r="A34" s="11" t="s">
        <v>87</v>
      </c>
      <c r="B34" s="33">
        <f>B29*B31/B32</f>
        <v>3230.2018468751294</v>
      </c>
    </row>
    <row r="35" spans="1:5">
      <c r="A35" s="11"/>
      <c r="B35" s="22"/>
      <c r="D35" s="52"/>
    </row>
    <row r="36" spans="1:5">
      <c r="A36" s="11" t="s">
        <v>113</v>
      </c>
      <c r="B36" s="38">
        <f>'NCO Lighting Cust Fcst'!B8</f>
        <v>103</v>
      </c>
      <c r="D36" s="52"/>
    </row>
    <row r="37" spans="1:5">
      <c r="A37" s="20" t="s">
        <v>11</v>
      </c>
      <c r="B37" s="38">
        <f>'NCO Lighting Cust Fcst'!B16</f>
        <v>1.5449999999999999</v>
      </c>
    </row>
    <row r="38" spans="1:5">
      <c r="A38" s="11"/>
      <c r="B38" s="33"/>
    </row>
    <row r="39" spans="1:5">
      <c r="A39" s="11" t="s">
        <v>86</v>
      </c>
      <c r="B39" s="33">
        <f>B34*B37/B36</f>
        <v>48.453027703126935</v>
      </c>
      <c r="D39" s="52"/>
      <c r="E39" s="52"/>
    </row>
    <row r="40" spans="1:5">
      <c r="A40" s="11" t="s">
        <v>76</v>
      </c>
      <c r="B40" s="33">
        <f>(B39*B36)/(B31*B36/B32)</f>
        <v>1.5867463743332164</v>
      </c>
      <c r="D40" s="52"/>
    </row>
    <row r="41" spans="1:5">
      <c r="A41" s="11"/>
      <c r="B41" s="33"/>
      <c r="D41" s="52"/>
    </row>
    <row r="42" spans="1:5">
      <c r="A42" s="39" t="s">
        <v>21</v>
      </c>
      <c r="B42" s="201">
        <v>0.18642986720362764</v>
      </c>
    </row>
    <row r="43" spans="1:5">
      <c r="A43" s="39" t="s">
        <v>81</v>
      </c>
      <c r="B43" s="201">
        <v>-9.9174528954089833E-2</v>
      </c>
    </row>
    <row r="44" spans="1:5">
      <c r="A44" s="39" t="s">
        <v>22</v>
      </c>
      <c r="B44" s="203">
        <v>1.1316978447365378</v>
      </c>
    </row>
    <row r="45" spans="1:5">
      <c r="A45" s="11" t="s">
        <v>117</v>
      </c>
      <c r="B45" s="33">
        <f>B42+B43+B44</f>
        <v>1.2189531829860756</v>
      </c>
    </row>
    <row r="46" spans="1:5">
      <c r="A46" s="26"/>
      <c r="B46" s="33"/>
    </row>
    <row r="47" spans="1:5">
      <c r="A47" s="11" t="s">
        <v>118</v>
      </c>
      <c r="B47" s="33">
        <f>B40+B45</f>
        <v>2.8056995573192918</v>
      </c>
    </row>
    <row r="48" spans="1:5" ht="13.5" thickBot="1">
      <c r="A48" s="64"/>
      <c r="B48" s="122"/>
    </row>
    <row r="49" spans="1:11">
      <c r="A49" s="191"/>
      <c r="B49" s="192"/>
    </row>
    <row r="50" spans="1:11">
      <c r="A50" s="166" t="s">
        <v>88</v>
      </c>
      <c r="B50" s="96"/>
      <c r="C50" s="1"/>
      <c r="D50" s="1"/>
      <c r="E50" s="1"/>
      <c r="F50" s="1"/>
      <c r="G50" s="1"/>
      <c r="H50" s="1"/>
      <c r="I50" s="1"/>
      <c r="J50" s="1"/>
      <c r="K50" s="1"/>
    </row>
    <row r="51" spans="1:11" ht="13.5" thickBot="1">
      <c r="A51" s="169" t="s">
        <v>134</v>
      </c>
      <c r="B51" s="122"/>
    </row>
    <row r="52" spans="1:11">
      <c r="A52" s="166"/>
      <c r="B52" s="55"/>
    </row>
    <row r="60" spans="1:11">
      <c r="A60" s="54"/>
    </row>
  </sheetData>
  <mergeCells count="1">
    <mergeCell ref="A1:B1"/>
  </mergeCells>
  <printOptions horizontalCentered="1"/>
  <pageMargins left="0.75" right="0.75" top="1" bottom="1" header="0.5" footer="0.5"/>
  <pageSetup scale="74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52"/>
  <sheetViews>
    <sheetView zoomScaleNormal="100" workbookViewId="0">
      <selection activeCell="B43" sqref="B43"/>
    </sheetView>
  </sheetViews>
  <sheetFormatPr defaultColWidth="9.140625" defaultRowHeight="12.75"/>
  <cols>
    <col min="1" max="1" width="35.7109375" style="1" customWidth="1"/>
    <col min="2" max="2" width="18.5703125" style="1" bestFit="1" customWidth="1"/>
    <col min="3" max="3" width="11.140625" style="1" customWidth="1"/>
    <col min="4" max="4" width="10.42578125" style="1" customWidth="1"/>
    <col min="5" max="10" width="10.7109375" style="1" customWidth="1"/>
    <col min="11" max="11" width="12.7109375" style="1" customWidth="1"/>
    <col min="12" max="12" width="9.140625" style="1"/>
    <col min="13" max="13" width="11.85546875" style="1" bestFit="1" customWidth="1"/>
    <col min="14" max="16384" width="9.140625" style="1"/>
  </cols>
  <sheetData>
    <row r="1" spans="1:13" ht="18.75" thickBot="1">
      <c r="A1" s="351" t="s">
        <v>119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</row>
    <row r="2" spans="1:13">
      <c r="A2" s="2"/>
      <c r="B2" s="3"/>
      <c r="C2" s="3"/>
      <c r="D2" s="3"/>
      <c r="E2" s="3"/>
      <c r="F2" s="3"/>
      <c r="G2" s="174"/>
      <c r="H2" s="174"/>
      <c r="I2" s="3"/>
      <c r="J2" s="3"/>
      <c r="K2" s="4"/>
    </row>
    <row r="3" spans="1:13" ht="13.5" thickBot="1">
      <c r="A3" s="5" t="s">
        <v>0</v>
      </c>
      <c r="B3" s="6" t="s">
        <v>1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2</v>
      </c>
      <c r="H3" s="6" t="s">
        <v>3</v>
      </c>
      <c r="I3" s="6" t="s">
        <v>24</v>
      </c>
      <c r="J3" s="6" t="s">
        <v>23</v>
      </c>
      <c r="K3" s="7" t="s">
        <v>8</v>
      </c>
    </row>
    <row r="4" spans="1:13">
      <c r="A4" s="8"/>
      <c r="B4" s="9"/>
      <c r="C4" s="9"/>
      <c r="D4" s="9"/>
      <c r="E4" s="9"/>
      <c r="F4" s="9"/>
      <c r="G4" s="9"/>
      <c r="H4" s="9"/>
      <c r="I4" s="9"/>
      <c r="J4" s="9"/>
      <c r="K4" s="10"/>
    </row>
    <row r="5" spans="1:13">
      <c r="A5" s="11"/>
      <c r="B5" s="12"/>
      <c r="C5" s="12"/>
      <c r="D5" s="12"/>
      <c r="E5" s="12"/>
      <c r="F5" s="12"/>
      <c r="G5" s="12"/>
      <c r="H5" s="12"/>
      <c r="I5" s="12"/>
      <c r="J5" s="12"/>
      <c r="K5" s="13"/>
    </row>
    <row r="6" spans="1:13" ht="15">
      <c r="A6" s="11" t="s">
        <v>103</v>
      </c>
      <c r="B6" s="230">
        <v>1</v>
      </c>
      <c r="C6" s="230"/>
      <c r="D6" s="230"/>
      <c r="E6" s="230"/>
      <c r="F6" s="230"/>
      <c r="G6" s="305"/>
      <c r="H6" s="230"/>
      <c r="I6" s="230"/>
      <c r="J6" s="230"/>
      <c r="K6" s="14">
        <f>SUM(B6:J6)</f>
        <v>1</v>
      </c>
      <c r="L6" s="15"/>
      <c r="M6" s="16"/>
    </row>
    <row r="7" spans="1:13">
      <c r="A7" s="11"/>
      <c r="B7" s="230"/>
      <c r="C7" s="230"/>
      <c r="D7" s="230"/>
      <c r="E7" s="230"/>
      <c r="F7" s="230"/>
      <c r="G7" s="305"/>
      <c r="H7" s="230"/>
      <c r="I7" s="230"/>
      <c r="J7" s="230"/>
      <c r="K7" s="14"/>
    </row>
    <row r="8" spans="1:13">
      <c r="A8" s="11" t="s">
        <v>104</v>
      </c>
      <c r="B8" s="230">
        <v>1</v>
      </c>
      <c r="C8" s="230"/>
      <c r="D8" s="230"/>
      <c r="E8" s="230"/>
      <c r="F8" s="230"/>
      <c r="G8" s="305"/>
      <c r="H8" s="230"/>
      <c r="I8" s="230"/>
      <c r="J8" s="230"/>
      <c r="K8" s="14">
        <f>SUM(B8:J8)</f>
        <v>1</v>
      </c>
      <c r="L8" s="15"/>
      <c r="M8" s="17"/>
    </row>
    <row r="9" spans="1:13">
      <c r="A9" s="11" t="s">
        <v>9</v>
      </c>
      <c r="B9" s="230"/>
      <c r="C9" s="230"/>
      <c r="D9" s="230"/>
      <c r="E9" s="230"/>
      <c r="F9" s="230"/>
      <c r="G9" s="230"/>
      <c r="H9" s="230"/>
      <c r="I9" s="230"/>
      <c r="J9" s="230"/>
      <c r="K9" s="14"/>
      <c r="M9" s="120"/>
    </row>
    <row r="10" spans="1:13">
      <c r="A10" s="11"/>
      <c r="B10" s="230"/>
      <c r="C10" s="230"/>
      <c r="D10" s="230"/>
      <c r="E10" s="230"/>
      <c r="F10" s="230"/>
      <c r="G10" s="230"/>
      <c r="H10" s="230"/>
      <c r="I10" s="230"/>
      <c r="J10" s="230"/>
      <c r="K10" s="14"/>
    </row>
    <row r="11" spans="1:13">
      <c r="A11" s="11" t="s">
        <v>75</v>
      </c>
      <c r="B11" s="324">
        <v>7.0197789799611454E-4</v>
      </c>
      <c r="C11" s="336"/>
      <c r="D11" s="18"/>
      <c r="E11" s="18"/>
      <c r="F11" s="18"/>
      <c r="G11" s="18"/>
      <c r="H11" s="18"/>
      <c r="I11" s="18"/>
      <c r="J11" s="18"/>
      <c r="K11" s="14">
        <f>SUM(B11:J11)</f>
        <v>7.0197789799611454E-4</v>
      </c>
    </row>
    <row r="12" spans="1:13">
      <c r="A12" s="19"/>
      <c r="B12" s="18"/>
      <c r="C12" s="18"/>
      <c r="D12" s="18"/>
      <c r="E12" s="18"/>
      <c r="F12" s="18"/>
      <c r="G12" s="18"/>
      <c r="H12" s="18"/>
      <c r="I12" s="18"/>
      <c r="J12" s="18"/>
      <c r="K12" s="14"/>
    </row>
    <row r="13" spans="1:13">
      <c r="A13" s="11" t="s">
        <v>10</v>
      </c>
      <c r="B13" s="325">
        <f>0.015*B8</f>
        <v>1.4999999999999999E-2</v>
      </c>
      <c r="C13" s="18"/>
      <c r="D13" s="18"/>
      <c r="E13" s="18"/>
      <c r="F13" s="18"/>
      <c r="G13" s="18"/>
      <c r="H13" s="18"/>
      <c r="I13" s="18"/>
      <c r="J13" s="18"/>
      <c r="K13" s="14">
        <f>SUM(B13:J13)</f>
        <v>1.4999999999999999E-2</v>
      </c>
    </row>
    <row r="14" spans="1:13">
      <c r="A14" s="20" t="s">
        <v>140</v>
      </c>
      <c r="B14" s="18"/>
      <c r="C14" s="18"/>
      <c r="D14" s="18"/>
      <c r="E14" s="18"/>
      <c r="F14" s="18"/>
      <c r="G14" s="18"/>
      <c r="H14" s="18"/>
      <c r="I14" s="18"/>
      <c r="J14" s="18"/>
      <c r="K14" s="14"/>
    </row>
    <row r="15" spans="1:13">
      <c r="A15" s="11"/>
      <c r="B15" s="18"/>
      <c r="C15" s="18"/>
      <c r="D15" s="18"/>
      <c r="E15" s="18"/>
      <c r="F15" s="18"/>
      <c r="G15" s="18"/>
      <c r="H15" s="18"/>
      <c r="I15" s="18"/>
      <c r="J15" s="18"/>
      <c r="K15" s="14"/>
    </row>
    <row r="16" spans="1:13">
      <c r="A16" s="11" t="s">
        <v>11</v>
      </c>
      <c r="B16" s="323">
        <f>B11+B13</f>
        <v>1.5701977897996114E-2</v>
      </c>
      <c r="C16" s="18"/>
      <c r="D16" s="18"/>
      <c r="E16" s="18"/>
      <c r="F16" s="18"/>
      <c r="G16" s="18"/>
      <c r="H16" s="18"/>
      <c r="I16" s="18"/>
      <c r="J16" s="18"/>
      <c r="K16" s="14">
        <f>SUM(B16:J16)</f>
        <v>1.5701977897996114E-2</v>
      </c>
      <c r="M16" s="75"/>
    </row>
    <row r="17" spans="1:11" ht="13.5" thickBot="1">
      <c r="A17" s="64"/>
      <c r="B17" s="18"/>
      <c r="C17" s="65"/>
      <c r="D17" s="65"/>
      <c r="E17" s="65"/>
      <c r="F17" s="65"/>
      <c r="G17" s="65"/>
      <c r="H17" s="65"/>
      <c r="I17" s="65"/>
      <c r="J17" s="65"/>
      <c r="K17" s="66"/>
    </row>
    <row r="18" spans="1:11">
      <c r="A18" s="176"/>
      <c r="B18" s="177"/>
      <c r="C18" s="177"/>
      <c r="D18" s="177"/>
      <c r="E18" s="177"/>
      <c r="F18" s="177"/>
      <c r="G18" s="177"/>
      <c r="H18" s="177"/>
      <c r="I18" s="177"/>
      <c r="J18" s="177"/>
      <c r="K18" s="178"/>
    </row>
    <row r="19" spans="1:11" ht="13.5" thickBot="1">
      <c r="A19" s="189" t="s">
        <v>125</v>
      </c>
      <c r="B19" s="229"/>
      <c r="C19" s="229"/>
      <c r="D19" s="229"/>
      <c r="E19" s="229"/>
      <c r="F19" s="229"/>
      <c r="G19" s="229"/>
      <c r="H19" s="229"/>
      <c r="I19" s="229"/>
      <c r="J19" s="229"/>
      <c r="K19" s="190"/>
    </row>
    <row r="20" spans="1:11">
      <c r="A20" s="60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>
      <c r="A21" s="60"/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>
      <c r="A22" s="303"/>
      <c r="B22" s="25"/>
      <c r="C22" s="23"/>
      <c r="D22" s="23"/>
      <c r="E22" s="23"/>
      <c r="F22" s="23"/>
      <c r="G22" s="23"/>
      <c r="H22" s="23"/>
      <c r="I22" s="23"/>
      <c r="J22" s="23"/>
      <c r="K22" s="23"/>
    </row>
    <row r="23" spans="1:11">
      <c r="A23" s="304"/>
      <c r="B23" s="25"/>
      <c r="C23" s="23"/>
      <c r="D23" s="23"/>
      <c r="E23" s="23"/>
      <c r="F23" s="23"/>
      <c r="G23" s="23"/>
      <c r="H23" s="23"/>
      <c r="I23" s="23"/>
      <c r="J23" s="23"/>
      <c r="K23" s="23"/>
    </row>
    <row r="24" spans="1:11">
      <c r="A24" s="60"/>
      <c r="B24" s="342"/>
      <c r="C24" s="23"/>
      <c r="D24" s="23"/>
      <c r="E24" s="23"/>
      <c r="F24" s="23"/>
      <c r="G24" s="23"/>
      <c r="H24" s="23"/>
      <c r="I24" s="23"/>
      <c r="J24" s="23"/>
      <c r="K24" s="23"/>
    </row>
    <row r="25" spans="1:11">
      <c r="A25" s="61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spans="1:11">
      <c r="A26" s="61"/>
      <c r="B26" s="23"/>
      <c r="C26" s="23"/>
      <c r="D26" s="23"/>
      <c r="E26" s="23"/>
      <c r="F26" s="23"/>
      <c r="G26" s="23"/>
      <c r="H26" s="23"/>
      <c r="I26" s="23"/>
      <c r="J26" s="23"/>
      <c r="K26" s="23"/>
    </row>
    <row r="27" spans="1:11">
      <c r="A27" s="62"/>
      <c r="B27" s="23"/>
      <c r="C27" s="23"/>
      <c r="D27" s="23"/>
      <c r="E27" s="23"/>
      <c r="F27" s="23"/>
      <c r="G27" s="23"/>
      <c r="H27" s="23"/>
      <c r="I27" s="23"/>
      <c r="J27" s="23"/>
      <c r="K27" s="23"/>
    </row>
    <row r="28" spans="1:11">
      <c r="A28" s="60"/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29" spans="1:11">
      <c r="A29" s="62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11"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2" spans="1:11">
      <c r="A32" s="1" t="s">
        <v>12</v>
      </c>
    </row>
    <row r="40" spans="1:1">
      <c r="A40" s="30"/>
    </row>
    <row r="52" spans="1:1">
      <c r="A52" s="30"/>
    </row>
  </sheetData>
  <mergeCells count="1">
    <mergeCell ref="A1:K1"/>
  </mergeCells>
  <printOptions horizontalCentered="1"/>
  <pageMargins left="0.75" right="0.75" top="1" bottom="1" header="0.5" footer="0.5"/>
  <pageSetup scale="79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60"/>
  <sheetViews>
    <sheetView zoomScaleNormal="100" workbookViewId="0">
      <selection activeCell="B43" sqref="B43"/>
    </sheetView>
  </sheetViews>
  <sheetFormatPr defaultColWidth="9.140625" defaultRowHeight="12.75"/>
  <cols>
    <col min="1" max="1" width="37.7109375" style="1" customWidth="1"/>
    <col min="2" max="10" width="10.7109375" style="1" customWidth="1"/>
    <col min="11" max="11" width="9.85546875" style="1" bestFit="1" customWidth="1"/>
    <col min="12" max="12" width="11.28515625" style="1" bestFit="1" customWidth="1"/>
    <col min="13" max="16384" width="9.140625" style="1"/>
  </cols>
  <sheetData>
    <row r="1" spans="1:15" ht="18.75" thickBot="1">
      <c r="A1" s="351" t="s">
        <v>94</v>
      </c>
      <c r="B1" s="351"/>
      <c r="C1" s="351"/>
      <c r="D1" s="351"/>
      <c r="E1" s="351"/>
      <c r="F1" s="351"/>
      <c r="G1" s="351"/>
      <c r="H1" s="351"/>
      <c r="I1" s="351"/>
      <c r="J1" s="351"/>
    </row>
    <row r="2" spans="1:15" ht="15.75" customHeight="1" thickBot="1">
      <c r="A2" s="264"/>
      <c r="B2" s="353" t="s">
        <v>111</v>
      </c>
      <c r="C2" s="354"/>
      <c r="D2" s="354"/>
      <c r="E2" s="261"/>
      <c r="F2" s="261"/>
      <c r="G2" s="260"/>
      <c r="H2" s="360" t="s">
        <v>73</v>
      </c>
      <c r="I2" s="361"/>
      <c r="J2" s="362"/>
    </row>
    <row r="3" spans="1:15" ht="13.5" thickBot="1">
      <c r="A3" s="5" t="s">
        <v>0</v>
      </c>
      <c r="B3" s="5" t="s">
        <v>35</v>
      </c>
      <c r="C3" s="6" t="s">
        <v>40</v>
      </c>
      <c r="D3" s="6" t="s">
        <v>36</v>
      </c>
      <c r="E3" s="106" t="s">
        <v>33</v>
      </c>
      <c r="F3" s="106" t="s">
        <v>138</v>
      </c>
      <c r="G3" s="5" t="s">
        <v>34</v>
      </c>
      <c r="H3" s="5" t="s">
        <v>35</v>
      </c>
      <c r="I3" s="6" t="s">
        <v>40</v>
      </c>
      <c r="J3" s="7" t="s">
        <v>36</v>
      </c>
    </row>
    <row r="4" spans="1:15">
      <c r="A4" s="8"/>
      <c r="B4" s="67"/>
      <c r="C4" s="67"/>
      <c r="D4" s="67"/>
      <c r="E4" s="259"/>
      <c r="F4" s="259"/>
      <c r="G4" s="259"/>
      <c r="H4" s="259"/>
      <c r="I4" s="259"/>
      <c r="J4" s="13"/>
    </row>
    <row r="5" spans="1:15">
      <c r="A5" s="11" t="s">
        <v>103</v>
      </c>
      <c r="B5" s="262">
        <f>SUM(B6:B9)</f>
        <v>616.99999999999989</v>
      </c>
      <c r="C5" s="262">
        <f>SUM(C6:C9)</f>
        <v>5.0000000000000009</v>
      </c>
      <c r="D5" s="262">
        <f>B5+C5</f>
        <v>621.99999999999989</v>
      </c>
      <c r="E5" s="262"/>
      <c r="F5" s="262">
        <f>SUM(F6:F9)</f>
        <v>2</v>
      </c>
      <c r="G5" s="262"/>
      <c r="H5" s="76">
        <f>B5+E5+F5+G5</f>
        <v>618.99999999999989</v>
      </c>
      <c r="I5" s="76">
        <f>C5</f>
        <v>5.0000000000000009</v>
      </c>
      <c r="J5" s="77">
        <f>H5+C5</f>
        <v>623.99999999999989</v>
      </c>
      <c r="K5" s="263"/>
      <c r="L5" s="296"/>
      <c r="N5" s="75"/>
    </row>
    <row r="6" spans="1:15">
      <c r="A6" s="73" t="s">
        <v>64</v>
      </c>
      <c r="B6" s="231">
        <v>151.58333333333334</v>
      </c>
      <c r="C6" s="231">
        <v>5.0000000000000009</v>
      </c>
      <c r="D6" s="262">
        <f t="shared" ref="D6:D9" si="0">B6+C6</f>
        <v>156.58333333333334</v>
      </c>
      <c r="E6" s="231"/>
      <c r="F6" s="231">
        <v>2</v>
      </c>
      <c r="G6" s="231"/>
      <c r="H6" s="76">
        <f>B6+E6+F6+G6</f>
        <v>153.58333333333334</v>
      </c>
      <c r="I6" s="76">
        <f t="shared" ref="I6:I34" si="1">C6</f>
        <v>5.0000000000000009</v>
      </c>
      <c r="J6" s="77">
        <f>H6+C6</f>
        <v>158.58333333333334</v>
      </c>
      <c r="K6" s="263"/>
      <c r="L6" s="198"/>
    </row>
    <row r="7" spans="1:15">
      <c r="A7" s="73" t="s">
        <v>37</v>
      </c>
      <c r="B7" s="231">
        <v>311.58333333333331</v>
      </c>
      <c r="C7" s="231">
        <v>0</v>
      </c>
      <c r="D7" s="262">
        <f t="shared" si="0"/>
        <v>311.58333333333331</v>
      </c>
      <c r="E7" s="231"/>
      <c r="F7" s="231">
        <v>0</v>
      </c>
      <c r="G7" s="231"/>
      <c r="H7" s="76">
        <f>B7+E7+F7+G7</f>
        <v>311.58333333333331</v>
      </c>
      <c r="I7" s="76">
        <f t="shared" si="1"/>
        <v>0</v>
      </c>
      <c r="J7" s="77">
        <f>H7+C7</f>
        <v>311.58333333333331</v>
      </c>
      <c r="K7" s="263"/>
      <c r="L7" s="198"/>
    </row>
    <row r="8" spans="1:15">
      <c r="A8" s="73" t="s">
        <v>38</v>
      </c>
      <c r="B8" s="231">
        <v>134.41666666666666</v>
      </c>
      <c r="C8" s="231">
        <v>0</v>
      </c>
      <c r="D8" s="262">
        <f t="shared" si="0"/>
        <v>134.41666666666666</v>
      </c>
      <c r="E8" s="231"/>
      <c r="F8" s="231">
        <v>0</v>
      </c>
      <c r="G8" s="231"/>
      <c r="H8" s="76">
        <f>B8+E8+F8+G8</f>
        <v>134.41666666666666</v>
      </c>
      <c r="I8" s="76">
        <f t="shared" si="1"/>
        <v>0</v>
      </c>
      <c r="J8" s="77">
        <f>H8+C8</f>
        <v>134.41666666666666</v>
      </c>
      <c r="K8" s="263"/>
      <c r="L8" s="198"/>
    </row>
    <row r="9" spans="1:15">
      <c r="A9" s="73" t="s">
        <v>39</v>
      </c>
      <c r="B9" s="231">
        <v>19.416666666666668</v>
      </c>
      <c r="C9" s="231">
        <v>0</v>
      </c>
      <c r="D9" s="262">
        <f t="shared" si="0"/>
        <v>19.416666666666668</v>
      </c>
      <c r="E9" s="231"/>
      <c r="F9" s="231">
        <v>0</v>
      </c>
      <c r="G9" s="231"/>
      <c r="H9" s="76">
        <f t="shared" ref="H9" si="2">B9+E9+F9+G9</f>
        <v>19.416666666666668</v>
      </c>
      <c r="I9" s="76">
        <f t="shared" si="1"/>
        <v>0</v>
      </c>
      <c r="J9" s="77">
        <f>H9+C9</f>
        <v>19.416666666666668</v>
      </c>
      <c r="K9" s="263"/>
      <c r="L9" s="198"/>
      <c r="M9" s="198"/>
      <c r="N9" s="198"/>
      <c r="O9" s="198"/>
    </row>
    <row r="10" spans="1:15">
      <c r="A10" s="11"/>
      <c r="B10" s="95"/>
      <c r="C10" s="231"/>
      <c r="D10" s="231"/>
      <c r="E10" s="231"/>
      <c r="F10" s="231"/>
      <c r="G10" s="231"/>
      <c r="H10" s="74"/>
      <c r="I10" s="76"/>
      <c r="J10" s="77"/>
      <c r="K10" s="79"/>
      <c r="L10" s="198"/>
    </row>
    <row r="11" spans="1:15">
      <c r="A11" s="11" t="s">
        <v>104</v>
      </c>
      <c r="B11" s="262">
        <f>SUM(B12:B15)</f>
        <v>616.99999999999989</v>
      </c>
      <c r="C11" s="262">
        <f>SUM(C12:C15)</f>
        <v>5.0000000000000009</v>
      </c>
      <c r="D11" s="262">
        <f>SUM(B11:C11)</f>
        <v>621.99999999999989</v>
      </c>
      <c r="E11" s="262"/>
      <c r="F11" s="262">
        <f t="shared" ref="F11" si="3">SUM(F12:F15)</f>
        <v>2</v>
      </c>
      <c r="G11" s="262"/>
      <c r="H11" s="76">
        <f>B11+E11+F11+G11</f>
        <v>618.99999999999989</v>
      </c>
      <c r="I11" s="76">
        <f t="shared" si="1"/>
        <v>5.0000000000000009</v>
      </c>
      <c r="J11" s="77">
        <f>H11+C11</f>
        <v>623.99999999999989</v>
      </c>
      <c r="K11" s="263"/>
      <c r="L11" s="198"/>
    </row>
    <row r="12" spans="1:15">
      <c r="A12" s="73" t="s">
        <v>64</v>
      </c>
      <c r="B12" s="231">
        <v>151.58333333333334</v>
      </c>
      <c r="C12" s="231">
        <v>5.0000000000000009</v>
      </c>
      <c r="D12" s="262">
        <f t="shared" ref="D12:D15" si="4">SUM(B12:C12)</f>
        <v>156.58333333333334</v>
      </c>
      <c r="E12" s="231"/>
      <c r="F12" s="231">
        <v>2</v>
      </c>
      <c r="G12" s="231"/>
      <c r="H12" s="76">
        <f>B12+E12+F12+G12</f>
        <v>153.58333333333334</v>
      </c>
      <c r="I12" s="76">
        <f t="shared" si="1"/>
        <v>5.0000000000000009</v>
      </c>
      <c r="J12" s="77">
        <f>H12+C12</f>
        <v>158.58333333333334</v>
      </c>
      <c r="K12" s="263"/>
      <c r="L12" s="198"/>
    </row>
    <row r="13" spans="1:15">
      <c r="A13" s="73" t="s">
        <v>37</v>
      </c>
      <c r="B13" s="231">
        <v>311.58333333333331</v>
      </c>
      <c r="C13" s="231">
        <v>0</v>
      </c>
      <c r="D13" s="262">
        <f t="shared" si="4"/>
        <v>311.58333333333331</v>
      </c>
      <c r="E13" s="231"/>
      <c r="F13" s="231">
        <v>0</v>
      </c>
      <c r="G13" s="231"/>
      <c r="H13" s="76">
        <f>B13+E13+F13+G13</f>
        <v>311.58333333333331</v>
      </c>
      <c r="I13" s="76">
        <f t="shared" si="1"/>
        <v>0</v>
      </c>
      <c r="J13" s="77">
        <f>H13+C13</f>
        <v>311.58333333333331</v>
      </c>
      <c r="K13" s="263"/>
      <c r="L13" s="198"/>
    </row>
    <row r="14" spans="1:15">
      <c r="A14" s="73" t="s">
        <v>38</v>
      </c>
      <c r="B14" s="231">
        <v>134.41666666666666</v>
      </c>
      <c r="C14" s="231">
        <v>0</v>
      </c>
      <c r="D14" s="262">
        <f t="shared" si="4"/>
        <v>134.41666666666666</v>
      </c>
      <c r="E14" s="231"/>
      <c r="F14" s="231">
        <v>0</v>
      </c>
      <c r="G14" s="231"/>
      <c r="H14" s="76">
        <f>B14+E14+F14+G14</f>
        <v>134.41666666666666</v>
      </c>
      <c r="I14" s="76">
        <f t="shared" si="1"/>
        <v>0</v>
      </c>
      <c r="J14" s="77">
        <f>H14+C14</f>
        <v>134.41666666666666</v>
      </c>
      <c r="K14" s="263"/>
      <c r="L14" s="198"/>
    </row>
    <row r="15" spans="1:15">
      <c r="A15" s="73" t="s">
        <v>39</v>
      </c>
      <c r="B15" s="231">
        <v>19.416666666666668</v>
      </c>
      <c r="C15" s="231">
        <v>0</v>
      </c>
      <c r="D15" s="262">
        <f t="shared" si="4"/>
        <v>19.416666666666668</v>
      </c>
      <c r="E15" s="231"/>
      <c r="F15" s="231">
        <v>0</v>
      </c>
      <c r="G15" s="231"/>
      <c r="H15" s="76">
        <f t="shared" ref="H15" si="5">B15+E15+F15+G15</f>
        <v>19.416666666666668</v>
      </c>
      <c r="I15" s="76">
        <f t="shared" si="1"/>
        <v>0</v>
      </c>
      <c r="J15" s="77">
        <f>H15+C15</f>
        <v>19.416666666666668</v>
      </c>
      <c r="K15" s="263"/>
      <c r="L15" s="198"/>
    </row>
    <row r="16" spans="1:15">
      <c r="A16" s="11"/>
      <c r="B16" s="95"/>
      <c r="C16" s="232"/>
      <c r="D16" s="232"/>
      <c r="E16" s="232"/>
      <c r="F16" s="232"/>
      <c r="G16" s="232"/>
      <c r="H16" s="68"/>
      <c r="I16" s="76"/>
      <c r="J16" s="14"/>
      <c r="K16" s="79"/>
      <c r="L16" s="198"/>
    </row>
    <row r="17" spans="1:12">
      <c r="A17" s="11" t="s">
        <v>75</v>
      </c>
      <c r="B17" s="37">
        <f>SUM(B18:B21)</f>
        <v>2.9078745693447257</v>
      </c>
      <c r="C17" s="37">
        <f>SUM(C18:C21)</f>
        <v>0</v>
      </c>
      <c r="D17" s="262">
        <f>SUM(B17:C17)</f>
        <v>2.9078745693447257</v>
      </c>
      <c r="E17" s="37"/>
      <c r="F17" s="37">
        <f>SUM(F18:F21)</f>
        <v>0</v>
      </c>
      <c r="G17" s="37"/>
      <c r="H17" s="37">
        <f t="shared" ref="H17" si="6">SUM(H18:H21)</f>
        <v>2.9078745693447257</v>
      </c>
      <c r="I17" s="76">
        <f t="shared" si="1"/>
        <v>0</v>
      </c>
      <c r="J17" s="38">
        <f t="shared" ref="J17" si="7">SUM(J18:J21)</f>
        <v>2.9078745693447257</v>
      </c>
      <c r="K17" s="263"/>
      <c r="L17" s="198"/>
    </row>
    <row r="18" spans="1:12">
      <c r="A18" s="73" t="s">
        <v>64</v>
      </c>
      <c r="B18" s="244">
        <v>0.71363330104131428</v>
      </c>
      <c r="C18" s="80">
        <v>0</v>
      </c>
      <c r="D18" s="262">
        <f t="shared" ref="D18:D21" si="8">SUM(B18:C18)</f>
        <v>0.71363330104131428</v>
      </c>
      <c r="E18" s="80"/>
      <c r="F18" s="80">
        <v>0</v>
      </c>
      <c r="G18" s="80"/>
      <c r="H18" s="76">
        <f>B18+E18+F18+G18</f>
        <v>0.71363330104131428</v>
      </c>
      <c r="I18" s="76">
        <f t="shared" si="1"/>
        <v>0</v>
      </c>
      <c r="J18" s="77">
        <f>H18+C18</f>
        <v>0.71363330104131428</v>
      </c>
      <c r="K18" s="263"/>
      <c r="L18" s="198"/>
    </row>
    <row r="19" spans="1:12">
      <c r="A19" s="73" t="s">
        <v>37</v>
      </c>
      <c r="B19" s="244">
        <v>1.4682848935330666</v>
      </c>
      <c r="C19" s="80">
        <v>0</v>
      </c>
      <c r="D19" s="262">
        <f t="shared" si="8"/>
        <v>1.4682848935330666</v>
      </c>
      <c r="E19" s="80"/>
      <c r="F19" s="80">
        <v>0</v>
      </c>
      <c r="G19" s="80"/>
      <c r="H19" s="76">
        <f>B19+E19+F19+G19</f>
        <v>1.4682848935330666</v>
      </c>
      <c r="I19" s="76">
        <f t="shared" si="1"/>
        <v>0</v>
      </c>
      <c r="J19" s="77">
        <f>H19+C19</f>
        <v>1.4682848935330666</v>
      </c>
      <c r="K19" s="263"/>
      <c r="L19" s="198"/>
    </row>
    <row r="20" spans="1:12">
      <c r="A20" s="73" t="s">
        <v>38</v>
      </c>
      <c r="B20" s="244">
        <v>0.62917844140393275</v>
      </c>
      <c r="C20" s="80">
        <v>0</v>
      </c>
      <c r="D20" s="262">
        <f t="shared" si="8"/>
        <v>0.62917844140393275</v>
      </c>
      <c r="E20" s="80"/>
      <c r="F20" s="80">
        <v>0</v>
      </c>
      <c r="G20" s="80"/>
      <c r="H20" s="76">
        <f>B20+E20+F20+G20</f>
        <v>0.62917844140393275</v>
      </c>
      <c r="I20" s="76">
        <f t="shared" si="1"/>
        <v>0</v>
      </c>
      <c r="J20" s="77">
        <f>H20+C20</f>
        <v>0.62917844140393275</v>
      </c>
      <c r="K20" s="263"/>
      <c r="L20" s="198"/>
    </row>
    <row r="21" spans="1:12">
      <c r="A21" s="73" t="s">
        <v>39</v>
      </c>
      <c r="B21" s="244">
        <v>9.6777933366412272E-2</v>
      </c>
      <c r="C21" s="80">
        <v>0</v>
      </c>
      <c r="D21" s="262">
        <f t="shared" si="8"/>
        <v>9.6777933366412272E-2</v>
      </c>
      <c r="E21" s="80"/>
      <c r="F21" s="80">
        <v>0</v>
      </c>
      <c r="G21" s="80"/>
      <c r="H21" s="76">
        <f t="shared" ref="H21" si="9">B21+E21+F21+G21</f>
        <v>9.6777933366412272E-2</v>
      </c>
      <c r="I21" s="76">
        <f t="shared" si="1"/>
        <v>0</v>
      </c>
      <c r="J21" s="77">
        <f>H21+C21</f>
        <v>9.6777933366412272E-2</v>
      </c>
      <c r="K21" s="263"/>
      <c r="L21" s="198"/>
    </row>
    <row r="22" spans="1:12">
      <c r="A22" s="19"/>
      <c r="B22" s="266"/>
      <c r="C22" s="61"/>
      <c r="D22" s="61"/>
      <c r="E22" s="61"/>
      <c r="F22" s="61"/>
      <c r="G22" s="61"/>
      <c r="H22" s="61"/>
      <c r="I22" s="76"/>
      <c r="J22" s="22"/>
      <c r="L22" s="198"/>
    </row>
    <row r="23" spans="1:12">
      <c r="A23" s="11" t="s">
        <v>10</v>
      </c>
      <c r="B23" s="69"/>
      <c r="C23" s="61"/>
      <c r="D23" s="61"/>
      <c r="E23" s="60"/>
      <c r="F23" s="61"/>
      <c r="G23" s="61"/>
      <c r="H23" s="61"/>
      <c r="I23" s="76"/>
      <c r="J23" s="22"/>
      <c r="L23" s="198"/>
    </row>
    <row r="24" spans="1:12">
      <c r="A24" s="20" t="s">
        <v>140</v>
      </c>
      <c r="B24" s="37">
        <f>SUM(B25:B28)</f>
        <v>9.254999999999999</v>
      </c>
      <c r="C24" s="327">
        <f>SUM(C25:C28)</f>
        <v>7.5000000000000011E-2</v>
      </c>
      <c r="D24" s="327">
        <f>B24+C24</f>
        <v>9.3299999999999983</v>
      </c>
      <c r="E24" s="37"/>
      <c r="F24" s="37">
        <f t="shared" ref="F24" si="10">SUM(F25:F28)</f>
        <v>0.03</v>
      </c>
      <c r="G24" s="37"/>
      <c r="H24" s="37">
        <f t="shared" ref="H24" si="11">SUM(H25:H28)</f>
        <v>9.2849999999999984</v>
      </c>
      <c r="I24" s="76">
        <f t="shared" si="1"/>
        <v>7.5000000000000011E-2</v>
      </c>
      <c r="J24" s="38">
        <f t="shared" ref="J24" si="12">SUM(J25:J28)</f>
        <v>9.36</v>
      </c>
      <c r="K24" s="263"/>
      <c r="L24" s="296"/>
    </row>
    <row r="25" spans="1:12">
      <c r="A25" s="73" t="s">
        <v>64</v>
      </c>
      <c r="B25" s="80">
        <f>B12*0.015</f>
        <v>2.2737500000000002</v>
      </c>
      <c r="C25" s="80">
        <f>C12*0.015</f>
        <v>7.5000000000000011E-2</v>
      </c>
      <c r="D25" s="327">
        <f t="shared" ref="D25:D28" si="13">B25+C25</f>
        <v>2.3487500000000003</v>
      </c>
      <c r="E25" s="80"/>
      <c r="F25" s="80">
        <f>F12*0.015</f>
        <v>0.03</v>
      </c>
      <c r="G25" s="80"/>
      <c r="H25" s="76">
        <f>B25+E25+F25+G25</f>
        <v>2.30375</v>
      </c>
      <c r="I25" s="76">
        <f t="shared" si="1"/>
        <v>7.5000000000000011E-2</v>
      </c>
      <c r="J25" s="77">
        <f>H25+C25</f>
        <v>2.3787500000000001</v>
      </c>
      <c r="K25" s="263"/>
      <c r="L25" s="296"/>
    </row>
    <row r="26" spans="1:12">
      <c r="A26" s="73" t="s">
        <v>37</v>
      </c>
      <c r="B26" s="80">
        <f t="shared" ref="B26:C28" si="14">B13*0.015</f>
        <v>4.6737499999999992</v>
      </c>
      <c r="C26" s="80">
        <f t="shared" si="14"/>
        <v>0</v>
      </c>
      <c r="D26" s="327">
        <f t="shared" si="13"/>
        <v>4.6737499999999992</v>
      </c>
      <c r="E26" s="80"/>
      <c r="F26" s="80">
        <f t="shared" ref="F26:F28" si="15">F13*0.015</f>
        <v>0</v>
      </c>
      <c r="G26" s="80"/>
      <c r="H26" s="76">
        <f>B26+E26+F26+G26</f>
        <v>4.6737499999999992</v>
      </c>
      <c r="I26" s="76">
        <f t="shared" si="1"/>
        <v>0</v>
      </c>
      <c r="J26" s="77">
        <f>H26+C26</f>
        <v>4.6737499999999992</v>
      </c>
      <c r="K26" s="263"/>
      <c r="L26" s="296"/>
    </row>
    <row r="27" spans="1:12">
      <c r="A27" s="73" t="s">
        <v>38</v>
      </c>
      <c r="B27" s="80">
        <f t="shared" si="14"/>
        <v>2.0162499999999999</v>
      </c>
      <c r="C27" s="80">
        <f t="shared" si="14"/>
        <v>0</v>
      </c>
      <c r="D27" s="327">
        <f t="shared" si="13"/>
        <v>2.0162499999999999</v>
      </c>
      <c r="E27" s="80"/>
      <c r="F27" s="80">
        <f t="shared" si="15"/>
        <v>0</v>
      </c>
      <c r="G27" s="80"/>
      <c r="H27" s="76">
        <f>B27+E27+F27+G27</f>
        <v>2.0162499999999999</v>
      </c>
      <c r="I27" s="76">
        <f t="shared" si="1"/>
        <v>0</v>
      </c>
      <c r="J27" s="77">
        <f>H27+C27</f>
        <v>2.0162499999999999</v>
      </c>
      <c r="K27" s="263"/>
      <c r="L27" s="296"/>
    </row>
    <row r="28" spans="1:12">
      <c r="A28" s="73" t="s">
        <v>39</v>
      </c>
      <c r="B28" s="80">
        <f t="shared" si="14"/>
        <v>0.29125000000000001</v>
      </c>
      <c r="C28" s="80">
        <f t="shared" si="14"/>
        <v>0</v>
      </c>
      <c r="D28" s="327">
        <f t="shared" si="13"/>
        <v>0.29125000000000001</v>
      </c>
      <c r="E28" s="80"/>
      <c r="F28" s="80">
        <f t="shared" si="15"/>
        <v>0</v>
      </c>
      <c r="G28" s="80"/>
      <c r="H28" s="76">
        <f t="shared" ref="H28" si="16">B28+E28+F28+G28</f>
        <v>0.29125000000000001</v>
      </c>
      <c r="I28" s="76">
        <f t="shared" si="1"/>
        <v>0</v>
      </c>
      <c r="J28" s="77">
        <f>H28+C28</f>
        <v>0.29125000000000001</v>
      </c>
      <c r="K28" s="263"/>
      <c r="L28" s="296"/>
    </row>
    <row r="29" spans="1:12">
      <c r="A29" s="20"/>
      <c r="B29" s="80"/>
      <c r="C29" s="61"/>
      <c r="D29" s="61"/>
      <c r="E29" s="61"/>
      <c r="F29" s="61"/>
      <c r="G29" s="61"/>
      <c r="H29" s="61"/>
      <c r="I29" s="76"/>
      <c r="J29" s="22"/>
      <c r="L29" s="296"/>
    </row>
    <row r="30" spans="1:12">
      <c r="A30" s="11" t="s">
        <v>11</v>
      </c>
      <c r="B30" s="37">
        <f>SUM(B31:B34)</f>
        <v>12.162874569344726</v>
      </c>
      <c r="C30" s="327">
        <f>SUM(C31:C34)</f>
        <v>7.5000000000000011E-2</v>
      </c>
      <c r="D30" s="37">
        <f>B30+C30</f>
        <v>12.237874569344726</v>
      </c>
      <c r="E30" s="37"/>
      <c r="F30" s="37">
        <f t="shared" ref="F30" si="17">SUM(F31:F34)</f>
        <v>0.03</v>
      </c>
      <c r="G30" s="37"/>
      <c r="H30" s="37">
        <f t="shared" ref="H30" si="18">SUM(H31:H34)</f>
        <v>12.192874569344726</v>
      </c>
      <c r="I30" s="76">
        <f t="shared" si="1"/>
        <v>7.5000000000000011E-2</v>
      </c>
      <c r="J30" s="38">
        <f t="shared" ref="J30" si="19">SUM(J31:J34)</f>
        <v>12.267874569344727</v>
      </c>
      <c r="K30" s="263"/>
      <c r="L30" s="296"/>
    </row>
    <row r="31" spans="1:12">
      <c r="A31" s="73" t="s">
        <v>64</v>
      </c>
      <c r="B31" s="81">
        <f>B18+B25</f>
        <v>2.9873833010413144</v>
      </c>
      <c r="C31" s="328">
        <f>C18+C25</f>
        <v>7.5000000000000011E-2</v>
      </c>
      <c r="D31" s="37">
        <f t="shared" ref="D31:D34" si="20">B31+C31</f>
        <v>3.0623833010413146</v>
      </c>
      <c r="E31" s="81"/>
      <c r="F31" s="81">
        <f t="shared" ref="F31:F34" si="21">F18+F25</f>
        <v>0.03</v>
      </c>
      <c r="G31" s="81"/>
      <c r="H31" s="76">
        <f>B31+E31+F31+G31</f>
        <v>3.0173833010413142</v>
      </c>
      <c r="I31" s="76">
        <f t="shared" si="1"/>
        <v>7.5000000000000011E-2</v>
      </c>
      <c r="J31" s="77">
        <f>H31+C31</f>
        <v>3.0923833010413144</v>
      </c>
      <c r="K31" s="263"/>
      <c r="L31" s="296"/>
    </row>
    <row r="32" spans="1:12">
      <c r="A32" s="73" t="s">
        <v>37</v>
      </c>
      <c r="B32" s="81">
        <f t="shared" ref="B32:C34" si="22">B19+B26</f>
        <v>6.142034893533066</v>
      </c>
      <c r="C32" s="328">
        <f t="shared" si="22"/>
        <v>0</v>
      </c>
      <c r="D32" s="37">
        <f t="shared" si="20"/>
        <v>6.142034893533066</v>
      </c>
      <c r="E32" s="81"/>
      <c r="F32" s="81">
        <f t="shared" si="21"/>
        <v>0</v>
      </c>
      <c r="G32" s="81"/>
      <c r="H32" s="76">
        <f>B32+E32+F32+G32</f>
        <v>6.142034893533066</v>
      </c>
      <c r="I32" s="76">
        <f t="shared" si="1"/>
        <v>0</v>
      </c>
      <c r="J32" s="77">
        <f>H32+C32</f>
        <v>6.142034893533066</v>
      </c>
      <c r="K32" s="263"/>
      <c r="L32" s="296"/>
    </row>
    <row r="33" spans="1:13">
      <c r="A33" s="73" t="s">
        <v>38</v>
      </c>
      <c r="B33" s="81">
        <f t="shared" si="22"/>
        <v>2.6454284414039329</v>
      </c>
      <c r="C33" s="328">
        <f t="shared" si="22"/>
        <v>0</v>
      </c>
      <c r="D33" s="37">
        <f t="shared" si="20"/>
        <v>2.6454284414039329</v>
      </c>
      <c r="E33" s="81"/>
      <c r="F33" s="81">
        <f t="shared" si="21"/>
        <v>0</v>
      </c>
      <c r="G33" s="81"/>
      <c r="H33" s="76">
        <f>B33+E33+F33+G33</f>
        <v>2.6454284414039329</v>
      </c>
      <c r="I33" s="76">
        <f t="shared" si="1"/>
        <v>0</v>
      </c>
      <c r="J33" s="77">
        <f>H33+C33</f>
        <v>2.6454284414039329</v>
      </c>
      <c r="K33" s="263"/>
      <c r="L33" s="296"/>
    </row>
    <row r="34" spans="1:13">
      <c r="A34" s="73" t="s">
        <v>39</v>
      </c>
      <c r="B34" s="81">
        <f t="shared" si="22"/>
        <v>0.38802793336641228</v>
      </c>
      <c r="C34" s="328">
        <f t="shared" si="22"/>
        <v>0</v>
      </c>
      <c r="D34" s="37">
        <f t="shared" si="20"/>
        <v>0.38802793336641228</v>
      </c>
      <c r="E34" s="81"/>
      <c r="F34" s="81">
        <f t="shared" si="21"/>
        <v>0</v>
      </c>
      <c r="G34" s="81"/>
      <c r="H34" s="76">
        <f t="shared" ref="H34" si="23">B34+E34+F34+G34</f>
        <v>0.38802793336641228</v>
      </c>
      <c r="I34" s="76">
        <f t="shared" si="1"/>
        <v>0</v>
      </c>
      <c r="J34" s="77">
        <f>H34+C34</f>
        <v>0.38802793336641228</v>
      </c>
      <c r="K34" s="263"/>
      <c r="L34" s="296"/>
    </row>
    <row r="35" spans="1:13" ht="13.5" thickBot="1">
      <c r="A35" s="27"/>
      <c r="B35" s="82"/>
      <c r="C35" s="82"/>
      <c r="D35" s="82"/>
      <c r="E35" s="70"/>
      <c r="F35" s="70"/>
      <c r="G35" s="70"/>
      <c r="H35" s="70"/>
      <c r="I35" s="70"/>
      <c r="J35" s="59"/>
    </row>
    <row r="36" spans="1:13">
      <c r="A36" s="176"/>
      <c r="B36" s="177"/>
      <c r="C36" s="177"/>
      <c r="D36" s="177"/>
      <c r="E36" s="177"/>
      <c r="F36" s="177"/>
      <c r="G36" s="177"/>
      <c r="H36" s="177"/>
      <c r="I36" s="177"/>
      <c r="J36" s="178"/>
      <c r="K36" s="21"/>
      <c r="L36" s="21"/>
      <c r="M36" s="21"/>
    </row>
    <row r="37" spans="1:13">
      <c r="A37" s="179" t="s">
        <v>74</v>
      </c>
      <c r="B37" s="21"/>
      <c r="C37" s="21"/>
      <c r="D37" s="21"/>
      <c r="E37" s="21"/>
      <c r="F37" s="21"/>
      <c r="G37" s="21"/>
      <c r="H37" s="21"/>
      <c r="I37" s="21"/>
      <c r="J37" s="22"/>
      <c r="K37" s="21"/>
      <c r="L37" s="21"/>
      <c r="M37" s="21"/>
    </row>
    <row r="38" spans="1:13">
      <c r="A38" s="186" t="s">
        <v>107</v>
      </c>
      <c r="B38" s="21"/>
      <c r="C38" s="21"/>
      <c r="D38" s="21"/>
      <c r="E38" s="21"/>
      <c r="F38" s="21"/>
      <c r="G38" s="21"/>
      <c r="H38" s="21"/>
      <c r="I38" s="21"/>
      <c r="J38" s="22"/>
      <c r="K38" s="21"/>
      <c r="L38" s="21"/>
      <c r="M38" s="21"/>
    </row>
    <row r="39" spans="1:13">
      <c r="A39" s="186" t="s">
        <v>106</v>
      </c>
      <c r="B39" s="21"/>
      <c r="C39" s="21"/>
      <c r="D39" s="21"/>
      <c r="E39" s="21"/>
      <c r="F39" s="21"/>
      <c r="G39" s="21"/>
      <c r="H39" s="21"/>
      <c r="I39" s="21"/>
      <c r="J39" s="22"/>
      <c r="K39" s="21"/>
      <c r="L39" s="21"/>
      <c r="M39" s="21"/>
    </row>
    <row r="40" spans="1:13" ht="13.5" thickBot="1">
      <c r="A40" s="169" t="s">
        <v>108</v>
      </c>
      <c r="B40" s="103"/>
      <c r="C40" s="103"/>
      <c r="D40" s="103"/>
      <c r="E40" s="103"/>
      <c r="F40" s="103"/>
      <c r="G40" s="103"/>
      <c r="H40" s="103"/>
      <c r="I40" s="103"/>
      <c r="J40" s="104"/>
    </row>
    <row r="42" spans="1:13">
      <c r="B42" s="337"/>
      <c r="C42" s="338"/>
      <c r="F42" s="338"/>
    </row>
    <row r="43" spans="1:13">
      <c r="B43" s="337"/>
      <c r="C43" s="337"/>
      <c r="D43" s="337"/>
      <c r="E43" s="337"/>
      <c r="F43" s="337"/>
      <c r="G43" s="337"/>
      <c r="H43" s="337"/>
      <c r="I43" s="337"/>
      <c r="J43" s="337"/>
    </row>
    <row r="44" spans="1:13">
      <c r="B44" s="337"/>
      <c r="C44" s="337"/>
      <c r="D44" s="337"/>
      <c r="E44" s="337"/>
      <c r="F44" s="337"/>
      <c r="G44" s="337"/>
      <c r="H44" s="337"/>
      <c r="I44" s="337"/>
      <c r="J44" s="337"/>
    </row>
    <row r="45" spans="1:13">
      <c r="B45" s="337"/>
      <c r="C45" s="337"/>
      <c r="D45" s="337"/>
      <c r="E45" s="337"/>
      <c r="F45" s="337"/>
      <c r="G45" s="337"/>
      <c r="H45" s="337"/>
      <c r="I45" s="337"/>
      <c r="J45" s="337"/>
    </row>
    <row r="46" spans="1:13">
      <c r="B46" s="337"/>
      <c r="C46" s="337"/>
      <c r="D46" s="337"/>
      <c r="E46" s="337"/>
      <c r="F46" s="337"/>
      <c r="G46" s="337"/>
      <c r="H46" s="337"/>
      <c r="I46" s="337"/>
      <c r="J46" s="337"/>
    </row>
    <row r="47" spans="1:13">
      <c r="B47" s="337"/>
    </row>
    <row r="48" spans="1:13">
      <c r="A48" s="30"/>
      <c r="B48" s="30"/>
      <c r="C48" s="30"/>
      <c r="D48" s="30"/>
      <c r="E48" s="30"/>
      <c r="F48" s="30"/>
      <c r="G48" s="30"/>
      <c r="H48" s="30"/>
      <c r="I48" s="30"/>
      <c r="J48" s="30"/>
    </row>
    <row r="49" spans="1:10">
      <c r="B49" s="30"/>
      <c r="C49" s="30"/>
      <c r="D49" s="30"/>
      <c r="E49" s="30"/>
      <c r="F49" s="30"/>
      <c r="G49" s="30"/>
      <c r="H49" s="30"/>
      <c r="I49" s="30"/>
      <c r="J49" s="30"/>
    </row>
    <row r="50" spans="1:10">
      <c r="B50" s="30"/>
      <c r="C50" s="30"/>
      <c r="D50" s="30"/>
      <c r="E50" s="30"/>
      <c r="F50" s="30"/>
      <c r="G50" s="30"/>
      <c r="H50" s="30"/>
      <c r="I50" s="30"/>
      <c r="J50" s="30"/>
    </row>
    <row r="51" spans="1:10">
      <c r="B51" s="30"/>
      <c r="C51" s="30"/>
      <c r="D51" s="30"/>
      <c r="E51" s="30"/>
      <c r="F51" s="30"/>
      <c r="G51" s="30"/>
      <c r="H51" s="30"/>
      <c r="I51" s="30"/>
      <c r="J51" s="30"/>
    </row>
    <row r="53" spans="1:10">
      <c r="B53" s="198"/>
      <c r="C53" s="198"/>
      <c r="D53" s="198"/>
      <c r="E53" s="198"/>
      <c r="F53" s="198"/>
      <c r="G53" s="198"/>
      <c r="H53" s="198"/>
      <c r="I53" s="198"/>
      <c r="J53" s="198"/>
    </row>
    <row r="54" spans="1:10">
      <c r="B54" s="198"/>
      <c r="C54" s="198"/>
      <c r="D54" s="198"/>
      <c r="E54" s="198"/>
      <c r="F54" s="198"/>
      <c r="G54" s="198"/>
      <c r="H54" s="198"/>
      <c r="I54" s="198"/>
      <c r="J54" s="198"/>
    </row>
    <row r="55" spans="1:10">
      <c r="B55" s="198"/>
      <c r="C55" s="198"/>
      <c r="D55" s="198"/>
      <c r="E55" s="198"/>
      <c r="F55" s="198"/>
      <c r="G55" s="198"/>
      <c r="H55" s="198"/>
      <c r="I55" s="198"/>
      <c r="J55" s="198"/>
    </row>
    <row r="56" spans="1:10">
      <c r="B56" s="198"/>
      <c r="C56" s="198"/>
      <c r="D56" s="198"/>
      <c r="E56" s="198"/>
      <c r="F56" s="198"/>
      <c r="G56" s="198"/>
      <c r="H56" s="198"/>
      <c r="I56" s="198"/>
      <c r="J56" s="198"/>
    </row>
    <row r="60" spans="1:10">
      <c r="A60" s="30"/>
      <c r="B60" s="30"/>
      <c r="C60" s="30"/>
      <c r="D60" s="30"/>
      <c r="E60" s="30"/>
      <c r="F60" s="30"/>
      <c r="G60" s="30"/>
      <c r="H60" s="30"/>
      <c r="I60" s="30"/>
    </row>
  </sheetData>
  <mergeCells count="3">
    <mergeCell ref="A1:J1"/>
    <mergeCell ref="B2:D2"/>
    <mergeCell ref="H2:J2"/>
  </mergeCells>
  <printOptions horizontalCentered="1"/>
  <pageMargins left="0.75" right="0.75" top="1" bottom="1" header="0.5" footer="0.5"/>
  <pageSetup scale="90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S63"/>
  <sheetViews>
    <sheetView zoomScaleNormal="100" workbookViewId="0">
      <selection activeCell="B43" sqref="B43"/>
    </sheetView>
  </sheetViews>
  <sheetFormatPr defaultColWidth="9.140625" defaultRowHeight="12.75"/>
  <cols>
    <col min="1" max="1" width="34.28515625" style="1" customWidth="1"/>
    <col min="2" max="2" width="11.85546875" style="1" customWidth="1"/>
    <col min="3" max="3" width="14.85546875" style="1" customWidth="1"/>
    <col min="4" max="4" width="11.7109375" style="1" customWidth="1"/>
    <col min="5" max="5" width="12.85546875" style="1" bestFit="1" customWidth="1"/>
    <col min="6" max="6" width="11.85546875" style="1" customWidth="1"/>
    <col min="7" max="7" width="12.7109375" style="1" customWidth="1"/>
    <col min="8" max="9" width="12.42578125" style="1" customWidth="1"/>
    <col min="10" max="10" width="10.7109375" style="1" customWidth="1"/>
    <col min="11" max="11" width="12.85546875" style="1" bestFit="1" customWidth="1"/>
    <col min="12" max="13" width="10.7109375" style="1" customWidth="1"/>
    <col min="14" max="14" width="9.140625" style="1"/>
    <col min="15" max="15" width="12.85546875" style="1" bestFit="1" customWidth="1"/>
    <col min="16" max="17" width="9.140625" style="1"/>
    <col min="18" max="18" width="10.28515625" style="1" bestFit="1" customWidth="1"/>
    <col min="19" max="16384" width="9.140625" style="1"/>
  </cols>
  <sheetData>
    <row r="1" spans="1:19" ht="18.75" thickBot="1">
      <c r="A1" s="352" t="s">
        <v>95</v>
      </c>
      <c r="B1" s="352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52"/>
      <c r="N1" s="352"/>
      <c r="O1" s="352"/>
      <c r="P1" s="352"/>
    </row>
    <row r="2" spans="1:19" ht="15" customHeight="1">
      <c r="A2" s="105"/>
      <c r="B2" s="125" t="s">
        <v>72</v>
      </c>
      <c r="C2" s="360" t="s">
        <v>56</v>
      </c>
      <c r="D2" s="361"/>
      <c r="E2" s="361"/>
      <c r="F2" s="362"/>
      <c r="G2" s="360" t="s">
        <v>57</v>
      </c>
      <c r="H2" s="361"/>
      <c r="I2" s="362"/>
      <c r="J2" s="360" t="s">
        <v>58</v>
      </c>
      <c r="K2" s="361"/>
      <c r="L2" s="362"/>
      <c r="M2" s="363" t="s">
        <v>63</v>
      </c>
      <c r="N2" s="364"/>
      <c r="O2" s="364"/>
      <c r="P2" s="365"/>
    </row>
    <row r="3" spans="1:19" ht="13.5" thickBot="1">
      <c r="A3" s="106" t="s">
        <v>0</v>
      </c>
      <c r="B3" s="7" t="s">
        <v>35</v>
      </c>
      <c r="C3" s="5" t="s">
        <v>35</v>
      </c>
      <c r="D3" s="6" t="s">
        <v>40</v>
      </c>
      <c r="E3" s="6" t="s">
        <v>70</v>
      </c>
      <c r="F3" s="7" t="s">
        <v>36</v>
      </c>
      <c r="G3" s="5" t="s">
        <v>35</v>
      </c>
      <c r="H3" s="6" t="s">
        <v>40</v>
      </c>
      <c r="I3" s="7" t="s">
        <v>36</v>
      </c>
      <c r="J3" s="5" t="s">
        <v>40</v>
      </c>
      <c r="K3" s="6" t="s">
        <v>70</v>
      </c>
      <c r="L3" s="7" t="s">
        <v>36</v>
      </c>
      <c r="M3" s="267" t="s">
        <v>35</v>
      </c>
      <c r="N3" s="139" t="s">
        <v>40</v>
      </c>
      <c r="O3" s="139" t="s">
        <v>70</v>
      </c>
      <c r="P3" s="123" t="s">
        <v>36</v>
      </c>
    </row>
    <row r="4" spans="1:19">
      <c r="A4" s="142"/>
      <c r="B4" s="10"/>
      <c r="C4" s="253"/>
      <c r="D4" s="12"/>
      <c r="E4" s="12"/>
      <c r="F4" s="13"/>
      <c r="G4" s="252"/>
      <c r="H4" s="9"/>
      <c r="I4" s="13"/>
      <c r="J4" s="252"/>
      <c r="K4" s="9"/>
      <c r="L4" s="10"/>
      <c r="M4" s="253"/>
      <c r="N4" s="95"/>
      <c r="O4" s="95"/>
      <c r="P4" s="96"/>
    </row>
    <row r="5" spans="1:19">
      <c r="A5" s="108" t="s">
        <v>103</v>
      </c>
      <c r="B5" s="100">
        <f t="shared" ref="B5:P5" si="0">B6+B7+B8</f>
        <v>3</v>
      </c>
      <c r="C5" s="168">
        <f t="shared" si="0"/>
        <v>810.86912237352328</v>
      </c>
      <c r="D5" s="99">
        <f t="shared" si="0"/>
        <v>26.380877626476611</v>
      </c>
      <c r="E5" s="99"/>
      <c r="F5" s="100">
        <f>C5+D5+E5</f>
        <v>837.24999999999989</v>
      </c>
      <c r="G5" s="168">
        <f t="shared" si="0"/>
        <v>101.10836449046111</v>
      </c>
      <c r="H5" s="99">
        <f t="shared" si="0"/>
        <v>14.994223689070445</v>
      </c>
      <c r="I5" s="100">
        <f>G5+H5</f>
        <v>116.10258817953155</v>
      </c>
      <c r="J5" s="168">
        <f t="shared" si="0"/>
        <v>1</v>
      </c>
      <c r="K5" s="99"/>
      <c r="L5" s="100">
        <f>J5+K5</f>
        <v>1</v>
      </c>
      <c r="M5" s="168">
        <f t="shared" si="0"/>
        <v>914.97748686398438</v>
      </c>
      <c r="N5" s="99">
        <f t="shared" si="0"/>
        <v>42.375101315547056</v>
      </c>
      <c r="O5" s="99"/>
      <c r="P5" s="100">
        <f t="shared" si="0"/>
        <v>957.35258817953149</v>
      </c>
      <c r="Q5" s="99"/>
      <c r="R5" s="198"/>
      <c r="S5" s="308"/>
    </row>
    <row r="6" spans="1:19">
      <c r="A6" s="108" t="s">
        <v>60</v>
      </c>
      <c r="B6" s="246">
        <v>3</v>
      </c>
      <c r="C6" s="254">
        <v>788.07307183430601</v>
      </c>
      <c r="D6" s="245">
        <v>16.395552364425644</v>
      </c>
      <c r="E6" s="245"/>
      <c r="F6" s="100">
        <f t="shared" ref="F6:F8" si="1">C6+D6+E6</f>
        <v>804.46862419873162</v>
      </c>
      <c r="G6" s="254">
        <v>98.285005033074484</v>
      </c>
      <c r="H6" s="245">
        <v>7.3141954079852169</v>
      </c>
      <c r="I6" s="100">
        <f t="shared" ref="I6:I7" si="2">G6+H6</f>
        <v>105.59920044105971</v>
      </c>
      <c r="J6" s="254"/>
      <c r="K6" s="245"/>
      <c r="L6" s="100"/>
      <c r="M6" s="268">
        <f>B6+C6+G6</f>
        <v>889.35807686738053</v>
      </c>
      <c r="N6" s="76">
        <f>D6+H6+J6</f>
        <v>23.709747772410861</v>
      </c>
      <c r="O6" s="76"/>
      <c r="P6" s="128">
        <f>SUM(M6:O6)</f>
        <v>913.06782463979141</v>
      </c>
      <c r="Q6" s="75"/>
      <c r="R6" s="198"/>
    </row>
    <row r="7" spans="1:19">
      <c r="A7" s="108" t="s">
        <v>61</v>
      </c>
      <c r="B7" s="246"/>
      <c r="C7" s="254">
        <v>22.796050539217259</v>
      </c>
      <c r="D7" s="245">
        <v>9.9853252620509689</v>
      </c>
      <c r="E7" s="245"/>
      <c r="F7" s="100">
        <f t="shared" si="1"/>
        <v>32.781375801268226</v>
      </c>
      <c r="G7" s="254">
        <v>2.8233594573866356</v>
      </c>
      <c r="H7" s="245">
        <v>7.6800282810852272</v>
      </c>
      <c r="I7" s="100">
        <f t="shared" si="2"/>
        <v>10.503387738471863</v>
      </c>
      <c r="J7" s="254">
        <v>1</v>
      </c>
      <c r="K7" s="245"/>
      <c r="L7" s="100">
        <f t="shared" ref="L7" si="3">J7+K7</f>
        <v>1</v>
      </c>
      <c r="M7" s="268">
        <f>B7+C7+G7</f>
        <v>25.619409996603896</v>
      </c>
      <c r="N7" s="76">
        <f t="shared" ref="N7" si="4">D7+H7+J7</f>
        <v>18.665353543136195</v>
      </c>
      <c r="O7" s="76"/>
      <c r="P7" s="128">
        <f t="shared" ref="P7:P8" si="5">SUM(M7:O7)</f>
        <v>44.284763539740091</v>
      </c>
      <c r="R7" s="198"/>
    </row>
    <row r="8" spans="1:19">
      <c r="A8" s="108" t="s">
        <v>62</v>
      </c>
      <c r="B8" s="246"/>
      <c r="C8" s="307"/>
      <c r="D8" s="245"/>
      <c r="E8" s="245"/>
      <c r="F8" s="100">
        <f t="shared" si="1"/>
        <v>0</v>
      </c>
      <c r="G8" s="254"/>
      <c r="H8" s="245"/>
      <c r="I8" s="100"/>
      <c r="J8" s="254"/>
      <c r="K8" s="245"/>
      <c r="L8" s="100"/>
      <c r="M8" s="268"/>
      <c r="N8" s="76"/>
      <c r="O8" s="76"/>
      <c r="P8" s="128">
        <f t="shared" si="5"/>
        <v>0</v>
      </c>
      <c r="R8" s="198"/>
    </row>
    <row r="9" spans="1:19">
      <c r="A9" s="108"/>
      <c r="B9" s="247"/>
      <c r="C9" s="254"/>
      <c r="D9" s="245"/>
      <c r="E9" s="245"/>
      <c r="F9" s="246"/>
      <c r="G9" s="254"/>
      <c r="H9" s="245"/>
      <c r="I9" s="246"/>
      <c r="J9" s="254"/>
      <c r="K9" s="245"/>
      <c r="L9" s="246"/>
      <c r="M9" s="268"/>
      <c r="N9" s="138"/>
      <c r="O9" s="95"/>
      <c r="P9" s="96"/>
      <c r="R9" s="198"/>
    </row>
    <row r="10" spans="1:19">
      <c r="A10" s="108" t="s">
        <v>104</v>
      </c>
      <c r="B10" s="249"/>
      <c r="C10" s="255"/>
      <c r="D10" s="248"/>
      <c r="E10" s="248"/>
      <c r="F10" s="309"/>
      <c r="G10" s="255"/>
      <c r="H10" s="248"/>
      <c r="I10" s="249"/>
      <c r="J10" s="255"/>
      <c r="K10" s="248"/>
      <c r="L10" s="249"/>
      <c r="M10" s="166"/>
      <c r="N10" s="134"/>
      <c r="O10" s="141"/>
      <c r="P10" s="129"/>
      <c r="R10" s="198"/>
    </row>
    <row r="11" spans="1:19">
      <c r="A11" s="108" t="s">
        <v>9</v>
      </c>
      <c r="B11" s="100">
        <f t="shared" ref="B11" si="6">B12+B13+B14</f>
        <v>3</v>
      </c>
      <c r="C11" s="168">
        <f t="shared" ref="C11" si="7">C12+C13+C14</f>
        <v>810.86912237352328</v>
      </c>
      <c r="D11" s="99">
        <f t="shared" ref="D11" si="8">D12+D13+D14</f>
        <v>26.380877626476611</v>
      </c>
      <c r="E11" s="99"/>
      <c r="F11" s="100">
        <f>C11+D11+E11</f>
        <v>837.24999999999989</v>
      </c>
      <c r="G11" s="168">
        <f t="shared" ref="G11" si="9">G12+G13+G14</f>
        <v>101.10836449046111</v>
      </c>
      <c r="H11" s="99">
        <f t="shared" ref="H11" si="10">H12+H13+H14</f>
        <v>14.994223689070445</v>
      </c>
      <c r="I11" s="100">
        <f>G11+H11</f>
        <v>116.10258817953155</v>
      </c>
      <c r="J11" s="168">
        <f t="shared" ref="J11" si="11">J12+J13+J14</f>
        <v>1</v>
      </c>
      <c r="K11" s="99"/>
      <c r="L11" s="100">
        <f>J11+K11</f>
        <v>1</v>
      </c>
      <c r="M11" s="168">
        <f t="shared" ref="M11" si="12">M12+M13+M14</f>
        <v>914.97748686398438</v>
      </c>
      <c r="N11" s="99">
        <f t="shared" ref="N11" si="13">N12+N13+N14</f>
        <v>42.375101315547056</v>
      </c>
      <c r="O11" s="99"/>
      <c r="P11" s="100">
        <f t="shared" ref="P11" si="14">P12+P13+P14</f>
        <v>957.35258817953149</v>
      </c>
      <c r="R11" s="198"/>
    </row>
    <row r="12" spans="1:19">
      <c r="A12" s="108" t="s">
        <v>60</v>
      </c>
      <c r="B12" s="246">
        <v>3</v>
      </c>
      <c r="C12" s="254">
        <v>788.07307183430601</v>
      </c>
      <c r="D12" s="245">
        <v>16.395552364425644</v>
      </c>
      <c r="E12" s="244"/>
      <c r="F12" s="100">
        <f t="shared" ref="F12:F14" si="15">C12+D12+E12</f>
        <v>804.46862419873162</v>
      </c>
      <c r="G12" s="254">
        <v>98.285005033074484</v>
      </c>
      <c r="H12" s="245">
        <v>7.3141954079852169</v>
      </c>
      <c r="I12" s="100">
        <f t="shared" ref="I12:I13" si="16">G12+H12</f>
        <v>105.59920044105971</v>
      </c>
      <c r="J12" s="256"/>
      <c r="K12" s="244"/>
      <c r="L12" s="100"/>
      <c r="M12" s="268">
        <f>B12+C12+G12</f>
        <v>889.35807686738053</v>
      </c>
      <c r="N12" s="76">
        <f>D12+H12+J12</f>
        <v>23.709747772410861</v>
      </c>
      <c r="O12" s="76"/>
      <c r="P12" s="128">
        <f>SUM(M12:O12)</f>
        <v>913.06782463979141</v>
      </c>
      <c r="R12" s="198"/>
    </row>
    <row r="13" spans="1:19">
      <c r="A13" s="108" t="s">
        <v>61</v>
      </c>
      <c r="B13" s="250"/>
      <c r="C13" s="254">
        <v>22.796050539217259</v>
      </c>
      <c r="D13" s="245">
        <v>9.9853252620509689</v>
      </c>
      <c r="E13" s="244"/>
      <c r="F13" s="100">
        <f t="shared" si="15"/>
        <v>32.781375801268226</v>
      </c>
      <c r="G13" s="254">
        <v>2.8233594573866356</v>
      </c>
      <c r="H13" s="245">
        <v>7.6800282810852272</v>
      </c>
      <c r="I13" s="100">
        <f t="shared" si="16"/>
        <v>10.503387738471863</v>
      </c>
      <c r="J13" s="254">
        <v>1</v>
      </c>
      <c r="K13" s="244"/>
      <c r="L13" s="100">
        <f t="shared" ref="L13" si="17">J13+K13</f>
        <v>1</v>
      </c>
      <c r="M13" s="268">
        <f>B13+C13+G13</f>
        <v>25.619409996603896</v>
      </c>
      <c r="N13" s="76">
        <f t="shared" ref="N13" si="18">D13+H13+J13</f>
        <v>18.665353543136195</v>
      </c>
      <c r="O13" s="76"/>
      <c r="P13" s="128">
        <f t="shared" ref="P13" si="19">SUM(M13:O13)</f>
        <v>44.284763539740091</v>
      </c>
      <c r="R13" s="198"/>
    </row>
    <row r="14" spans="1:19">
      <c r="A14" s="108" t="s">
        <v>62</v>
      </c>
      <c r="B14" s="250"/>
      <c r="C14" s="256"/>
      <c r="D14" s="244"/>
      <c r="E14" s="244"/>
      <c r="F14" s="100">
        <f t="shared" si="15"/>
        <v>0</v>
      </c>
      <c r="G14" s="256"/>
      <c r="H14" s="244"/>
      <c r="I14" s="100"/>
      <c r="J14" s="256"/>
      <c r="K14" s="244"/>
      <c r="L14" s="100"/>
      <c r="M14" s="268"/>
      <c r="N14" s="76"/>
      <c r="O14" s="76"/>
      <c r="P14" s="128"/>
      <c r="R14" s="198"/>
    </row>
    <row r="15" spans="1:19">
      <c r="A15" s="108"/>
      <c r="B15" s="250"/>
      <c r="C15" s="256"/>
      <c r="D15" s="244"/>
      <c r="E15" s="244"/>
      <c r="F15" s="250"/>
      <c r="G15" s="256"/>
      <c r="H15" s="244"/>
      <c r="I15" s="250"/>
      <c r="J15" s="256"/>
      <c r="K15" s="244"/>
      <c r="L15" s="250"/>
      <c r="M15" s="268"/>
      <c r="N15" s="134"/>
      <c r="O15" s="134"/>
      <c r="P15" s="129"/>
      <c r="R15" s="198"/>
    </row>
    <row r="16" spans="1:19">
      <c r="A16" s="108" t="s">
        <v>75</v>
      </c>
      <c r="B16" s="99">
        <f>B17+B18+B19</f>
        <v>0</v>
      </c>
      <c r="C16" s="168">
        <f t="shared" ref="C16" si="20">C17+C18+C19</f>
        <v>13.891159776304473</v>
      </c>
      <c r="D16" s="329">
        <f t="shared" ref="D16" si="21">D17+D18+D19</f>
        <v>0.50817377663226804</v>
      </c>
      <c r="E16" s="80"/>
      <c r="F16" s="100">
        <f>C16+D16+E16</f>
        <v>14.399333552936742</v>
      </c>
      <c r="G16" s="168">
        <f t="shared" ref="G16:H16" si="22">G17+G18+G19</f>
        <v>10.449125304828941</v>
      </c>
      <c r="H16" s="99">
        <f t="shared" si="22"/>
        <v>0</v>
      </c>
      <c r="I16" s="100">
        <f>G16+H16</f>
        <v>10.449125304828941</v>
      </c>
      <c r="J16" s="168">
        <f t="shared" ref="J16" si="23">J17+J18+J19</f>
        <v>0</v>
      </c>
      <c r="K16" s="80"/>
      <c r="L16" s="100">
        <f>J16+K16</f>
        <v>0</v>
      </c>
      <c r="M16" s="168">
        <f t="shared" ref="M16" si="24">M17+M18+M19</f>
        <v>24.340285081133416</v>
      </c>
      <c r="N16" s="99">
        <f t="shared" ref="N16" si="25">N17+N18+N19</f>
        <v>0.50817377663226804</v>
      </c>
      <c r="O16" s="99"/>
      <c r="P16" s="128">
        <f>SUM(M16:O16)</f>
        <v>24.848458857765685</v>
      </c>
      <c r="R16" s="198"/>
    </row>
    <row r="17" spans="1:18">
      <c r="A17" s="108" t="s">
        <v>60</v>
      </c>
      <c r="B17" s="77">
        <v>0</v>
      </c>
      <c r="C17" s="244">
        <v>13.496103525160409</v>
      </c>
      <c r="D17" s="265">
        <v>0.32105584864855269</v>
      </c>
      <c r="E17" s="80"/>
      <c r="F17" s="100">
        <f t="shared" ref="F17:F18" si="26">C17+D17+E17</f>
        <v>13.817159373808963</v>
      </c>
      <c r="G17" s="244">
        <v>10.156161885895953</v>
      </c>
      <c r="H17" s="244">
        <v>0</v>
      </c>
      <c r="I17" s="100">
        <f>G17+H17</f>
        <v>10.156161885895953</v>
      </c>
      <c r="J17" s="80">
        <v>0</v>
      </c>
      <c r="K17" s="80"/>
      <c r="L17" s="100">
        <f>J17+K17</f>
        <v>0</v>
      </c>
      <c r="M17" s="268">
        <f>B17+C17+G17</f>
        <v>23.652265411056362</v>
      </c>
      <c r="N17" s="76">
        <f>D17+H17+J17</f>
        <v>0.32105584864855269</v>
      </c>
      <c r="O17" s="76"/>
      <c r="P17" s="128">
        <f>SUM(M17:O17)</f>
        <v>23.973321259704914</v>
      </c>
      <c r="R17" s="198"/>
    </row>
    <row r="18" spans="1:18">
      <c r="A18" s="108" t="s">
        <v>61</v>
      </c>
      <c r="B18" s="77"/>
      <c r="C18" s="265">
        <v>0.39505625114406434</v>
      </c>
      <c r="D18" s="265">
        <v>0.18711792798371535</v>
      </c>
      <c r="E18" s="80"/>
      <c r="F18" s="100">
        <f t="shared" si="26"/>
        <v>0.58217417912777969</v>
      </c>
      <c r="G18" s="244">
        <v>0.29296341893298844</v>
      </c>
      <c r="H18" s="244">
        <v>0</v>
      </c>
      <c r="I18" s="100">
        <f>G18+H18</f>
        <v>0.29296341893298844</v>
      </c>
      <c r="J18" s="80"/>
      <c r="K18" s="80"/>
      <c r="L18" s="100"/>
      <c r="M18" s="268">
        <f>B18+C18+G18</f>
        <v>0.68801967007705278</v>
      </c>
      <c r="N18" s="76">
        <f>D18+H18+J18</f>
        <v>0.18711792798371535</v>
      </c>
      <c r="O18" s="76"/>
      <c r="P18" s="128">
        <f t="shared" ref="P18" si="27">SUM(M18:O18)</f>
        <v>0.87513759806076807</v>
      </c>
      <c r="R18" s="198"/>
    </row>
    <row r="19" spans="1:18">
      <c r="A19" s="108" t="s">
        <v>62</v>
      </c>
      <c r="B19" s="77"/>
      <c r="C19" s="334"/>
      <c r="D19" s="80"/>
      <c r="E19" s="80"/>
      <c r="F19" s="100"/>
      <c r="G19" s="257"/>
      <c r="H19" s="80"/>
      <c r="I19" s="100"/>
      <c r="J19" s="257"/>
      <c r="K19" s="80"/>
      <c r="L19" s="100"/>
      <c r="M19" s="335"/>
      <c r="N19" s="76"/>
      <c r="O19" s="76"/>
      <c r="P19" s="128"/>
      <c r="R19" s="198"/>
    </row>
    <row r="20" spans="1:18">
      <c r="A20" s="108"/>
      <c r="B20" s="77"/>
      <c r="C20" s="257"/>
      <c r="D20" s="80"/>
      <c r="E20" s="80"/>
      <c r="F20" s="77"/>
      <c r="G20" s="257"/>
      <c r="H20" s="80"/>
      <c r="I20" s="77"/>
      <c r="J20" s="257"/>
      <c r="K20" s="80"/>
      <c r="L20" s="77"/>
      <c r="M20" s="268"/>
      <c r="N20" s="134"/>
      <c r="O20" s="134"/>
      <c r="P20" s="129"/>
      <c r="R20" s="198"/>
    </row>
    <row r="21" spans="1:18" s="118" customFormat="1">
      <c r="A21" s="108" t="s">
        <v>10</v>
      </c>
      <c r="B21" s="132"/>
      <c r="C21" s="130"/>
      <c r="D21" s="131"/>
      <c r="E21" s="131"/>
      <c r="F21" s="133"/>
      <c r="G21" s="130"/>
      <c r="H21" s="251"/>
      <c r="I21" s="132"/>
      <c r="J21" s="130"/>
      <c r="K21" s="131"/>
      <c r="L21" s="133"/>
      <c r="M21" s="268"/>
      <c r="N21" s="140"/>
      <c r="O21" s="140"/>
      <c r="P21" s="145"/>
      <c r="R21" s="198"/>
    </row>
    <row r="22" spans="1:18">
      <c r="A22" s="107" t="s">
        <v>140</v>
      </c>
      <c r="B22" s="99">
        <f>B23+B24+B25</f>
        <v>4.4999999999999998E-2</v>
      </c>
      <c r="C22" s="168">
        <f>C23+C24+C25</f>
        <v>12.163036835602847</v>
      </c>
      <c r="D22" s="329">
        <f>D23+D24+D25</f>
        <v>0.39571316439714921</v>
      </c>
      <c r="E22" s="99"/>
      <c r="F22" s="100">
        <f>C22+D22+E22</f>
        <v>12.558749999999996</v>
      </c>
      <c r="G22" s="168">
        <f t="shared" ref="G22:P22" si="28">G23+G24+G25</f>
        <v>1.5166254673569166</v>
      </c>
      <c r="H22" s="329">
        <f t="shared" si="28"/>
        <v>0.22491335533605666</v>
      </c>
      <c r="I22" s="99">
        <f t="shared" si="28"/>
        <v>1.7415388226929733</v>
      </c>
      <c r="J22" s="168">
        <f t="shared" si="28"/>
        <v>1.4999999999999999E-2</v>
      </c>
      <c r="K22" s="99"/>
      <c r="L22" s="100">
        <f t="shared" si="28"/>
        <v>1.4999999999999999E-2</v>
      </c>
      <c r="M22" s="168">
        <f t="shared" si="28"/>
        <v>13.724662302959764</v>
      </c>
      <c r="N22" s="99">
        <f t="shared" si="28"/>
        <v>0.63562651973320583</v>
      </c>
      <c r="O22" s="99"/>
      <c r="P22" s="100">
        <f t="shared" si="28"/>
        <v>14.360288822692969</v>
      </c>
      <c r="R22" s="198"/>
    </row>
    <row r="23" spans="1:18">
      <c r="A23" s="108" t="s">
        <v>60</v>
      </c>
      <c r="B23" s="77">
        <f>B12*0.015</f>
        <v>4.4999999999999998E-2</v>
      </c>
      <c r="C23" s="257">
        <f>C12*0.015</f>
        <v>11.821096077514589</v>
      </c>
      <c r="D23" s="326">
        <f>D12*0.015</f>
        <v>0.24593328546638465</v>
      </c>
      <c r="E23" s="80"/>
      <c r="F23" s="100">
        <f t="shared" ref="F23:F25" si="29">C23+D23+E23</f>
        <v>12.067029362980973</v>
      </c>
      <c r="G23" s="257">
        <f>G12*0.015</f>
        <v>1.4742750754961171</v>
      </c>
      <c r="H23" s="326">
        <f>H12*0.015</f>
        <v>0.10971293111977826</v>
      </c>
      <c r="I23" s="100">
        <f t="shared" ref="I23:I24" si="30">G23+H23</f>
        <v>1.5839880066158953</v>
      </c>
      <c r="J23" s="257"/>
      <c r="K23" s="80"/>
      <c r="L23" s="100"/>
      <c r="M23" s="268">
        <f>B23+C23+G23</f>
        <v>13.340371153010706</v>
      </c>
      <c r="N23" s="76">
        <f>D23+H23+J23</f>
        <v>0.35564621658616291</v>
      </c>
      <c r="O23" s="76"/>
      <c r="P23" s="128">
        <f>SUM(M23:O23)</f>
        <v>13.696017369596868</v>
      </c>
      <c r="R23" s="198"/>
    </row>
    <row r="24" spans="1:18">
      <c r="A24" s="108" t="s">
        <v>61</v>
      </c>
      <c r="B24" s="77"/>
      <c r="C24" s="257">
        <f>C13*0.015</f>
        <v>0.34194075808825886</v>
      </c>
      <c r="D24" s="326">
        <f>D13*0.015</f>
        <v>0.14977987893076453</v>
      </c>
      <c r="E24" s="80"/>
      <c r="F24" s="100">
        <f t="shared" si="29"/>
        <v>0.49172063701902335</v>
      </c>
      <c r="G24" s="257">
        <f>G13*0.015</f>
        <v>4.235039186079953E-2</v>
      </c>
      <c r="H24" s="326">
        <f>H13*0.015</f>
        <v>0.11520042421627841</v>
      </c>
      <c r="I24" s="100">
        <f t="shared" si="30"/>
        <v>0.15755081607707794</v>
      </c>
      <c r="J24" s="257">
        <f>J13*0.015</f>
        <v>1.4999999999999999E-2</v>
      </c>
      <c r="K24" s="80"/>
      <c r="L24" s="100">
        <f t="shared" ref="L24" si="31">J24+K24</f>
        <v>1.4999999999999999E-2</v>
      </c>
      <c r="M24" s="268">
        <f>B24+C24+G24</f>
        <v>0.38429114994905839</v>
      </c>
      <c r="N24" s="76">
        <f t="shared" ref="N24" si="32">D24+H24+J24</f>
        <v>0.27998030314704292</v>
      </c>
      <c r="O24" s="76"/>
      <c r="P24" s="128">
        <f t="shared" ref="P24" si="33">SUM(M24:O24)</f>
        <v>0.66427145309610136</v>
      </c>
      <c r="R24" s="198"/>
    </row>
    <row r="25" spans="1:18">
      <c r="A25" s="108" t="s">
        <v>62</v>
      </c>
      <c r="B25" s="77"/>
      <c r="C25" s="257"/>
      <c r="D25" s="80"/>
      <c r="E25" s="80"/>
      <c r="F25" s="100">
        <f t="shared" si="29"/>
        <v>0</v>
      </c>
      <c r="G25" s="257"/>
      <c r="H25" s="80"/>
      <c r="I25" s="100"/>
      <c r="J25" s="257"/>
      <c r="K25" s="80"/>
      <c r="L25" s="100"/>
      <c r="M25" s="268"/>
      <c r="N25" s="306"/>
      <c r="O25" s="76"/>
      <c r="P25" s="128"/>
      <c r="R25" s="198"/>
    </row>
    <row r="26" spans="1:18">
      <c r="A26" s="108"/>
      <c r="B26" s="132"/>
      <c r="C26" s="130"/>
      <c r="D26" s="131"/>
      <c r="E26" s="131"/>
      <c r="F26" s="133"/>
      <c r="G26" s="130"/>
      <c r="H26" s="251"/>
      <c r="I26" s="132"/>
      <c r="J26" s="130"/>
      <c r="K26" s="131"/>
      <c r="L26" s="133"/>
      <c r="M26" s="268"/>
      <c r="N26" s="134"/>
      <c r="O26" s="134"/>
      <c r="P26" s="129"/>
      <c r="R26" s="198"/>
    </row>
    <row r="27" spans="1:18" s="120" customFormat="1">
      <c r="A27" s="143" t="s">
        <v>11</v>
      </c>
      <c r="B27" s="99">
        <f>B28+B29+B30</f>
        <v>4.4999999999999998E-2</v>
      </c>
      <c r="C27" s="130">
        <f t="shared" ref="C27:P27" si="34">C16+C22</f>
        <v>26.054196611907322</v>
      </c>
      <c r="D27" s="251">
        <f t="shared" si="34"/>
        <v>0.90388694102941725</v>
      </c>
      <c r="E27" s="131"/>
      <c r="F27" s="100">
        <f>C27+D27+E27</f>
        <v>26.958083552936738</v>
      </c>
      <c r="G27" s="130">
        <f t="shared" si="34"/>
        <v>11.965750772185858</v>
      </c>
      <c r="H27" s="251">
        <f t="shared" si="34"/>
        <v>0.22491335533605666</v>
      </c>
      <c r="I27" s="100">
        <f>G27+H27</f>
        <v>12.190664127521915</v>
      </c>
      <c r="J27" s="130">
        <f t="shared" si="34"/>
        <v>1.4999999999999999E-2</v>
      </c>
      <c r="K27" s="131"/>
      <c r="L27" s="100">
        <f>J27+K27</f>
        <v>1.4999999999999999E-2</v>
      </c>
      <c r="M27" s="130">
        <f t="shared" si="34"/>
        <v>38.06494738409318</v>
      </c>
      <c r="N27" s="131">
        <f t="shared" si="34"/>
        <v>1.1438002963654739</v>
      </c>
      <c r="O27" s="131"/>
      <c r="P27" s="133">
        <f t="shared" si="34"/>
        <v>39.208747680458657</v>
      </c>
      <c r="R27" s="198"/>
    </row>
    <row r="28" spans="1:18">
      <c r="A28" s="108" t="s">
        <v>60</v>
      </c>
      <c r="B28" s="133">
        <f t="shared" ref="B28:H28" si="35">B17+B23</f>
        <v>4.4999999999999998E-2</v>
      </c>
      <c r="C28" s="130">
        <f t="shared" si="35"/>
        <v>25.317199602674997</v>
      </c>
      <c r="D28" s="251">
        <f t="shared" si="35"/>
        <v>0.56698913411493734</v>
      </c>
      <c r="E28" s="131"/>
      <c r="F28" s="100">
        <f t="shared" ref="F28:F30" si="36">C28+D28+E28</f>
        <v>25.884188736789934</v>
      </c>
      <c r="G28" s="130">
        <f t="shared" si="35"/>
        <v>11.63043696139207</v>
      </c>
      <c r="H28" s="251">
        <f t="shared" si="35"/>
        <v>0.10971293111977826</v>
      </c>
      <c r="I28" s="100">
        <f t="shared" ref="I28:I29" si="37">G28+H28</f>
        <v>11.740149892511848</v>
      </c>
      <c r="J28" s="130"/>
      <c r="K28" s="131"/>
      <c r="L28" s="100"/>
      <c r="M28" s="268">
        <f>B28+C28+G28</f>
        <v>36.99263656406707</v>
      </c>
      <c r="N28" s="76">
        <f>D28+H28+J28</f>
        <v>0.67670206523471554</v>
      </c>
      <c r="O28" s="76"/>
      <c r="P28" s="128">
        <f>SUM(M28:O28)</f>
        <v>37.669338629301784</v>
      </c>
      <c r="R28" s="198"/>
    </row>
    <row r="29" spans="1:18">
      <c r="A29" s="108" t="s">
        <v>61</v>
      </c>
      <c r="B29" s="133"/>
      <c r="C29" s="130">
        <f t="shared" ref="C29:J29" si="38">C18+C24</f>
        <v>0.73699700923232325</v>
      </c>
      <c r="D29" s="251">
        <f t="shared" si="38"/>
        <v>0.3368978069144799</v>
      </c>
      <c r="E29" s="131"/>
      <c r="F29" s="100">
        <f t="shared" si="36"/>
        <v>1.0738948161468032</v>
      </c>
      <c r="G29" s="130">
        <f t="shared" si="38"/>
        <v>0.33531381079378797</v>
      </c>
      <c r="H29" s="251">
        <f t="shared" si="38"/>
        <v>0.11520042421627841</v>
      </c>
      <c r="I29" s="100">
        <f t="shared" si="37"/>
        <v>0.45051423501006638</v>
      </c>
      <c r="J29" s="130">
        <f t="shared" si="38"/>
        <v>1.4999999999999999E-2</v>
      </c>
      <c r="K29" s="131"/>
      <c r="L29" s="100">
        <f t="shared" ref="L29" si="39">J29+K29</f>
        <v>1.4999999999999999E-2</v>
      </c>
      <c r="M29" s="268">
        <f>B29+C29+G29</f>
        <v>1.0723108200261113</v>
      </c>
      <c r="N29" s="76">
        <f t="shared" ref="N29" si="40">D29+H29+J29</f>
        <v>0.46709823113075832</v>
      </c>
      <c r="O29" s="76"/>
      <c r="P29" s="128">
        <f t="shared" ref="P29" si="41">SUM(M29:O29)</f>
        <v>1.5394090511568697</v>
      </c>
      <c r="R29" s="198"/>
    </row>
    <row r="30" spans="1:18">
      <c r="A30" s="108" t="s">
        <v>62</v>
      </c>
      <c r="B30" s="133"/>
      <c r="C30" s="130"/>
      <c r="D30" s="251"/>
      <c r="E30" s="131"/>
      <c r="F30" s="100">
        <f t="shared" si="36"/>
        <v>0</v>
      </c>
      <c r="G30" s="130"/>
      <c r="H30" s="131"/>
      <c r="I30" s="100"/>
      <c r="J30" s="130"/>
      <c r="K30" s="131"/>
      <c r="L30" s="100"/>
      <c r="M30" s="268"/>
      <c r="N30" s="306"/>
      <c r="O30" s="76"/>
      <c r="P30" s="128"/>
      <c r="R30" s="198"/>
    </row>
    <row r="31" spans="1:18" ht="13.5" thickBot="1">
      <c r="A31" s="108"/>
      <c r="B31" s="133"/>
      <c r="C31" s="130"/>
      <c r="D31" s="131"/>
      <c r="E31" s="131"/>
      <c r="F31" s="133"/>
      <c r="G31" s="130"/>
      <c r="H31" s="131"/>
      <c r="I31" s="133"/>
      <c r="J31" s="130"/>
      <c r="K31" s="131"/>
      <c r="L31" s="133"/>
      <c r="M31" s="130"/>
      <c r="N31" s="134"/>
      <c r="O31" s="134"/>
      <c r="P31" s="129"/>
    </row>
    <row r="32" spans="1:18">
      <c r="A32" s="176"/>
      <c r="B32" s="177"/>
      <c r="C32" s="177"/>
      <c r="D32" s="177"/>
      <c r="E32" s="177"/>
      <c r="F32" s="177"/>
      <c r="G32" s="177"/>
      <c r="H32" s="180"/>
      <c r="I32" s="180"/>
      <c r="J32" s="180"/>
      <c r="K32" s="180"/>
      <c r="L32" s="180"/>
      <c r="M32" s="181"/>
      <c r="N32" s="180"/>
      <c r="O32" s="180"/>
      <c r="P32" s="182"/>
      <c r="Q32" s="95"/>
    </row>
    <row r="33" spans="1:17">
      <c r="A33" s="179" t="s">
        <v>74</v>
      </c>
      <c r="B33" s="21"/>
      <c r="C33" s="21"/>
      <c r="D33" s="21"/>
      <c r="E33" s="21"/>
      <c r="F33" s="21"/>
      <c r="G33" s="21"/>
      <c r="H33" s="136"/>
      <c r="I33" s="136"/>
      <c r="J33" s="136"/>
      <c r="K33" s="136"/>
      <c r="L33" s="136"/>
      <c r="M33" s="136"/>
      <c r="N33" s="134"/>
      <c r="O33" s="134"/>
      <c r="P33" s="129"/>
      <c r="Q33" s="95"/>
    </row>
    <row r="34" spans="1:17">
      <c r="A34" s="186" t="s">
        <v>105</v>
      </c>
      <c r="B34" s="21"/>
      <c r="C34" s="21"/>
      <c r="D34" s="21"/>
      <c r="E34" s="21"/>
      <c r="F34" s="21"/>
      <c r="G34" s="21"/>
      <c r="H34" s="136"/>
      <c r="I34" s="136"/>
      <c r="J34" s="136"/>
      <c r="K34" s="136"/>
      <c r="L34" s="136"/>
      <c r="M34" s="136"/>
      <c r="N34" s="134"/>
      <c r="O34" s="134"/>
      <c r="P34" s="129"/>
      <c r="Q34" s="95"/>
    </row>
    <row r="35" spans="1:17" ht="13.5" thickBot="1">
      <c r="A35" s="169" t="s">
        <v>108</v>
      </c>
      <c r="B35" s="103"/>
      <c r="C35" s="103"/>
      <c r="D35" s="103"/>
      <c r="E35" s="103"/>
      <c r="F35" s="103"/>
      <c r="G35" s="103"/>
      <c r="H35" s="183"/>
      <c r="I35" s="183"/>
      <c r="J35" s="183"/>
      <c r="K35" s="183"/>
      <c r="L35" s="183"/>
      <c r="M35" s="183"/>
      <c r="N35" s="146"/>
      <c r="O35" s="146"/>
      <c r="P35" s="147"/>
      <c r="Q35" s="95"/>
    </row>
    <row r="36" spans="1:17">
      <c r="A36" s="61"/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4"/>
      <c r="O36" s="134"/>
      <c r="P36" s="134"/>
      <c r="Q36" s="95"/>
    </row>
    <row r="37" spans="1:17">
      <c r="A37" s="61"/>
      <c r="B37" s="136"/>
      <c r="C37" s="339"/>
      <c r="D37" s="339"/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95"/>
    </row>
    <row r="38" spans="1:17">
      <c r="A38" s="62"/>
      <c r="B38" s="339"/>
      <c r="C38" s="339"/>
      <c r="D38" s="339"/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95"/>
    </row>
    <row r="39" spans="1:17">
      <c r="A39" s="60"/>
      <c r="B39" s="339"/>
      <c r="C39" s="339"/>
      <c r="D39" s="339"/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39"/>
      <c r="P39" s="339"/>
      <c r="Q39" s="95"/>
    </row>
    <row r="40" spans="1:17">
      <c r="A40" s="60"/>
      <c r="B40" s="21"/>
      <c r="C40" s="21"/>
      <c r="D40" s="21"/>
      <c r="E40" s="21"/>
      <c r="F40" s="21"/>
      <c r="G40" s="21"/>
      <c r="H40" s="21"/>
      <c r="I40" s="21"/>
      <c r="J40" s="141"/>
      <c r="K40" s="141"/>
      <c r="L40" s="141"/>
      <c r="M40" s="141"/>
      <c r="N40" s="134"/>
      <c r="O40" s="134"/>
      <c r="P40" s="134"/>
      <c r="Q40" s="95"/>
    </row>
    <row r="41" spans="1:17">
      <c r="A41" s="175"/>
      <c r="B41" s="21"/>
      <c r="C41" s="339"/>
      <c r="D41" s="339"/>
      <c r="E41" s="339"/>
      <c r="F41" s="339"/>
      <c r="G41" s="339"/>
      <c r="H41" s="339"/>
      <c r="I41" s="339"/>
      <c r="J41" s="339"/>
      <c r="K41" s="339"/>
      <c r="L41" s="339"/>
      <c r="M41" s="339"/>
      <c r="N41" s="339"/>
      <c r="O41" s="339"/>
      <c r="P41" s="339"/>
    </row>
    <row r="42" spans="1:17">
      <c r="A42" s="175"/>
      <c r="B42" s="21"/>
      <c r="C42" s="339"/>
      <c r="D42" s="339"/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39"/>
      <c r="P42" s="339"/>
    </row>
    <row r="43" spans="1:17">
      <c r="A43" s="1" t="s">
        <v>12</v>
      </c>
      <c r="C43" s="75"/>
      <c r="D43" s="121"/>
      <c r="E43" s="95"/>
      <c r="F43" s="95"/>
      <c r="G43" s="95"/>
      <c r="H43" s="95"/>
      <c r="I43" s="95"/>
    </row>
    <row r="44" spans="1:17">
      <c r="C44" s="340"/>
      <c r="D44" s="340"/>
      <c r="E44" s="340"/>
      <c r="F44" s="340"/>
      <c r="G44" s="341"/>
      <c r="H44" s="341"/>
      <c r="I44" s="341"/>
    </row>
    <row r="45" spans="1:17">
      <c r="C45" s="340"/>
      <c r="D45" s="340"/>
      <c r="E45" s="340"/>
      <c r="F45" s="340"/>
      <c r="G45" s="341"/>
      <c r="H45" s="341"/>
      <c r="I45" s="341"/>
    </row>
    <row r="51" spans="1:1">
      <c r="A51" s="30"/>
    </row>
    <row r="63" spans="1:1">
      <c r="A63" s="30"/>
    </row>
  </sheetData>
  <mergeCells count="5">
    <mergeCell ref="M2:P2"/>
    <mergeCell ref="A1:P1"/>
    <mergeCell ref="C2:F2"/>
    <mergeCell ref="G2:I2"/>
    <mergeCell ref="J2:L2"/>
  </mergeCells>
  <printOptions horizontalCentered="1"/>
  <pageMargins left="0.75" right="0.75" top="1" bottom="1" header="0.5" footer="0.5"/>
  <pageSetup scale="57" orientation="landscape" r:id="rId1"/>
  <headerFooter alignWithMargins="0">
    <oddHeader>&amp;C&amp;"-,Bold"SAN DIEGO GAS AND ELECTRIC COMPANY
TEST YEAR 2019 GENERAL RATE CASE PHASE 2, APPLICATION 19-03-002
NCO MARGINAL DISTRIBUTION CUSTOMER COST WORKPAPERS FOR CHAPTER 5 (SAXE) - REVISED
ILLUSTRATIVE MARGINAL CUSTOMER COSTS---NOT PROPOSED BY SDGE</oddHeader>
    <oddFooter>&amp;L&amp;F 
&amp;A&amp;R&amp;P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NCO - School (Non-Lighting)</vt:lpstr>
      <vt:lpstr>NCO - Res</vt:lpstr>
      <vt:lpstr>NCO - Small Commercial</vt:lpstr>
      <vt:lpstr>NCO - Medium-Large C&amp;I </vt:lpstr>
      <vt:lpstr>NCO - Agricultural Class</vt:lpstr>
      <vt:lpstr>NCO - Lighting</vt:lpstr>
      <vt:lpstr>NCO Res Cust Fcst</vt:lpstr>
      <vt:lpstr>NCO Sml Comm Cust Fcst</vt:lpstr>
      <vt:lpstr>NCO Medium-Large C&amp;I Cust Fcst</vt:lpstr>
      <vt:lpstr>NCO Agricultural</vt:lpstr>
      <vt:lpstr>NCO Lighting Cust Fcst</vt:lpstr>
      <vt:lpstr>Input</vt:lpstr>
      <vt:lpstr>'NCO - Agricultural Class'!Print_Area</vt:lpstr>
      <vt:lpstr>'NCO - Lighting'!Print_Area</vt:lpstr>
      <vt:lpstr>'NCO - Medium-Large C&amp;I '!Print_Area</vt:lpstr>
      <vt:lpstr>'NCO - Res'!Print_Area</vt:lpstr>
      <vt:lpstr>'NCO - School (Non-Lighting)'!Print_Area</vt:lpstr>
      <vt:lpstr>'NCO - Small Commercial'!Print_Area</vt:lpstr>
      <vt:lpstr>'NCO Agricultural'!Print_Area</vt:lpstr>
      <vt:lpstr>'NCO Lighting Cust Fcst'!Print_Area</vt:lpstr>
      <vt:lpstr>'NCO Medium-Large C&amp;I Cust Fcst'!Print_Area</vt:lpstr>
      <vt:lpstr>'NCO Res Cust Fcst'!Print_Area</vt:lpstr>
      <vt:lpstr>'NCO Sml Comm Cust Fcst'!Print_Area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Saxe</dc:creator>
  <cp:lastModifiedBy>Saxe, William</cp:lastModifiedBy>
  <cp:lastPrinted>2016-02-11T01:44:16Z</cp:lastPrinted>
  <dcterms:created xsi:type="dcterms:W3CDTF">2014-12-29T23:40:56Z</dcterms:created>
  <dcterms:modified xsi:type="dcterms:W3CDTF">2020-01-13T22:25:02Z</dcterms:modified>
</cp:coreProperties>
</file>